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836" activeTab="8"/>
  </bookViews>
  <sheets>
    <sheet name="Rents with Section 8" sheetId="1" r:id="rId1"/>
    <sheet name="Operating Budget" sheetId="2" r:id="rId2"/>
    <sheet name="Construction Cost" sheetId="3" r:id="rId3"/>
    <sheet name="Sources and Uses of Funds Prede" sheetId="4" state="hidden" r:id="rId4"/>
    <sheet name="Sources and Uses of Funds Const" sheetId="5" state="hidden" r:id="rId5"/>
    <sheet name="Sources and Uses of Funds Perm" sheetId="6" r:id="rId6"/>
    <sheet name="Detailed Const S&amp;U" sheetId="7" state="hidden" r:id="rId7"/>
    <sheet name="Detailed Perm S&amp;U" sheetId="8" state="hidden" r:id="rId8"/>
    <sheet name="Cash Flow" sheetId="9" r:id="rId9"/>
    <sheet name="UnAnticipated Costs" sheetId="10" state="hidden" r:id="rId10"/>
    <sheet name="Consultants" sheetId="11" state="hidden" r:id="rId11"/>
  </sheets>
  <externalReferences>
    <externalReference r:id="rId14"/>
  </externalReferences>
  <definedNames>
    <definedName name="\p">#REF!</definedName>
    <definedName name="\s" localSheetId="6">#REF!</definedName>
    <definedName name="\s" localSheetId="7">#REF!</definedName>
    <definedName name="\s" localSheetId="0">#REF!</definedName>
    <definedName name="\s" localSheetId="9">#REF!</definedName>
    <definedName name="\s">#REF!</definedName>
    <definedName name="DEBT" localSheetId="6">#REF!</definedName>
    <definedName name="DEBT" localSheetId="7">#REF!</definedName>
    <definedName name="DEBT" localSheetId="0">#REF!</definedName>
    <definedName name="DEBT" localSheetId="9">#REF!</definedName>
    <definedName name="DEBT">#REF!</definedName>
    <definedName name="h" localSheetId="6">#REF!</definedName>
    <definedName name="h" localSheetId="0">#REF!</definedName>
    <definedName name="h" localSheetId="9">#REF!</definedName>
    <definedName name="h">#REF!</definedName>
    <definedName name="_xlnm.Print_Area" localSheetId="8">'Cash Flow'!$A$1:$Q$62</definedName>
    <definedName name="_xlnm.Print_Area" localSheetId="2">'Construction Cost'!$A$1:$H$71</definedName>
    <definedName name="_xlnm.Print_Area" localSheetId="10">'Consultants'!$A$1:$F$37</definedName>
    <definedName name="_xlnm.Print_Area" localSheetId="6">'Detailed Const S&amp;U'!$A$1:$H$102</definedName>
    <definedName name="_xlnm.Print_Area" localSheetId="7">'Detailed Perm S&amp;U'!$A$1:$I$114</definedName>
    <definedName name="_xlnm.Print_Area" localSheetId="1">'Operating Budget'!$A$1:$K$82</definedName>
    <definedName name="_xlnm.Print_Area" localSheetId="0">'Rents with Section 8'!$A$1:$O$26</definedName>
    <definedName name="_xlnm.Print_Area" localSheetId="4">'Sources and Uses of Funds Const'!$A$1:$D$44</definedName>
    <definedName name="_xlnm.Print_Area" localSheetId="5">'Sources and Uses of Funds Perm'!$A$1:$I$32</definedName>
    <definedName name="_xlnm.Print_Area" localSheetId="3">'Sources and Uses of Funds Prede'!$A$1:$D$27</definedName>
    <definedName name="_xlnm.Print_Area" localSheetId="9">'UnAnticipated Costs'!$A$1:$F$62</definedName>
    <definedName name="PRINT_AREA_MI">#REF!</definedName>
    <definedName name="_xlnm.Print_Titles" localSheetId="8">'Cash Flow'!$A:$B</definedName>
    <definedName name="_xlnm.Print_Titles" localSheetId="6">'Detailed Const S&amp;U'!$1:$5</definedName>
    <definedName name="_xlnm.Print_Titles" localSheetId="7">'Detailed Perm S&amp;U'!$1:$5</definedName>
    <definedName name="PRINT_TITLES_MI">#REF!</definedName>
    <definedName name="s" localSheetId="0">#REF!</definedName>
    <definedName name="s" localSheetId="9">#REF!</definedName>
    <definedName name="s">#REF!</definedName>
    <definedName name="WESTWOOD">#REF!</definedName>
  </definedNames>
  <calcPr fullCalcOnLoad="1"/>
</workbook>
</file>

<file path=xl/comments7.xml><?xml version="1.0" encoding="utf-8"?>
<comments xmlns="http://schemas.openxmlformats.org/spreadsheetml/2006/main">
  <authors>
    <author>Debra Starbuck</author>
  </authors>
  <commentList>
    <comment ref="B115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16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17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18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19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4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5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6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7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8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9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0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1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2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4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</commentList>
</comments>
</file>

<file path=xl/comments8.xml><?xml version="1.0" encoding="utf-8"?>
<comments xmlns="http://schemas.openxmlformats.org/spreadsheetml/2006/main">
  <authors>
    <author>Debra Starbuck</author>
  </authors>
  <commentList>
    <comment ref="B124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5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6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7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8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29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0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1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2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  <comment ref="B134" authorId="0">
      <text>
        <r>
          <rPr>
            <sz val="9"/>
            <color indexed="8"/>
            <rFont val="Tahoma"/>
            <family val="2"/>
          </rPr>
          <t>Refer to each lender's 
guidelines for allowable land costs.</t>
        </r>
      </text>
    </comment>
  </commentList>
</comments>
</file>

<file path=xl/sharedStrings.xml><?xml version="1.0" encoding="utf-8"?>
<sst xmlns="http://schemas.openxmlformats.org/spreadsheetml/2006/main" count="787" uniqueCount="495">
  <si>
    <t>Janitorial Contract</t>
  </si>
  <si>
    <t>Pest Contract</t>
  </si>
  <si>
    <t>Fire Alarm Monitoring</t>
  </si>
  <si>
    <t>Landscape Contracts</t>
  </si>
  <si>
    <t>Repairs Materials</t>
  </si>
  <si>
    <t>Deco/Painting Contract</t>
  </si>
  <si>
    <t>Deco/Painting Supplies</t>
  </si>
  <si>
    <t>Miscellaneous Maintenance</t>
  </si>
  <si>
    <t>TAXES AND INSURANCE</t>
  </si>
  <si>
    <t>Real Estate Taxes</t>
  </si>
  <si>
    <t>Property Insurance</t>
  </si>
  <si>
    <t>3% interest only deferred</t>
  </si>
  <si>
    <t>Predevelopment Sources and Uses of Funds</t>
  </si>
  <si>
    <t>Predevelopment Sources of Funds</t>
  </si>
  <si>
    <t>Predevelopment Uses of Funds</t>
  </si>
  <si>
    <t>Total Predevelopment Costs</t>
  </si>
  <si>
    <t>Total Sources</t>
  </si>
  <si>
    <t>Maint. and Repairs Contracts</t>
  </si>
  <si>
    <t>Manager's Unit</t>
  </si>
  <si>
    <t>Assumptions:</t>
  </si>
  <si>
    <t>Rent Increase:</t>
  </si>
  <si>
    <t>Expenses Increase:</t>
  </si>
  <si>
    <t>Total</t>
  </si>
  <si>
    <t>Per Unit</t>
  </si>
  <si>
    <t>Vacancy 5%</t>
  </si>
  <si>
    <t>Total Development Cost</t>
  </si>
  <si>
    <t>First mortgage</t>
  </si>
  <si>
    <t>Loan amount</t>
  </si>
  <si>
    <t>Rate</t>
  </si>
  <si>
    <t>Amortization</t>
  </si>
  <si>
    <t>Construction Contingency</t>
  </si>
  <si>
    <t>Construction Loan Fee</t>
  </si>
  <si>
    <t>Legal</t>
  </si>
  <si>
    <t>Sources and Uses of Funds Permanent</t>
  </si>
  <si>
    <t>Local Development Impact Fees</t>
  </si>
  <si>
    <t>Total Construction Period Costs</t>
  </si>
  <si>
    <t>Construction Period Sources of Funds</t>
  </si>
  <si>
    <t>Audit</t>
  </si>
  <si>
    <t>Construction Loan Interest</t>
  </si>
  <si>
    <t>Taxes and Insurance</t>
  </si>
  <si>
    <t>Construction Period Uses of Funds</t>
  </si>
  <si>
    <t>Construction</t>
  </si>
  <si>
    <t>General Conditions</t>
  </si>
  <si>
    <t>Construction Period Sources and Uses of Funds</t>
  </si>
  <si>
    <t>Workers Comp</t>
  </si>
  <si>
    <t>Total Site Staff Expenses</t>
  </si>
  <si>
    <t>Office Expenses</t>
  </si>
  <si>
    <t>Management Fees</t>
  </si>
  <si>
    <t>Legal/mediation Expenses</t>
  </si>
  <si>
    <t>CPA/Audit</t>
  </si>
  <si>
    <t>Bookkeeping Services</t>
  </si>
  <si>
    <t>Telephone, DSL, Fax</t>
  </si>
  <si>
    <t>Mileage/Travel</t>
  </si>
  <si>
    <t>Misc. Admin Expenses</t>
  </si>
  <si>
    <t>Seminars/Training</t>
  </si>
  <si>
    <t>Computer Charges</t>
  </si>
  <si>
    <t>Total Administrative Expenses</t>
  </si>
  <si>
    <t>UTILITIES EXPENSE</t>
  </si>
  <si>
    <t>Electricity</t>
  </si>
  <si>
    <t>Gas</t>
  </si>
  <si>
    <t>Garbage Removal</t>
  </si>
  <si>
    <t>Total Utilities Expense</t>
  </si>
  <si>
    <t>Site Acquisition</t>
  </si>
  <si>
    <t>NPV Management Fee</t>
  </si>
  <si>
    <t>Consultant Expenses</t>
  </si>
  <si>
    <t>RENTAL INCOME</t>
  </si>
  <si>
    <t>Rental Income- Tenant</t>
  </si>
  <si>
    <t>Vacancies</t>
  </si>
  <si>
    <t>Interest Income - Operating</t>
  </si>
  <si>
    <t>Laundry Income</t>
  </si>
  <si>
    <t>Miscellaneous Income</t>
  </si>
  <si>
    <t>Total Gross Revenue</t>
  </si>
  <si>
    <t>MARKETING AND RENTING EXPENSES</t>
  </si>
  <si>
    <t>Advertising</t>
  </si>
  <si>
    <t>Payroll - Maintenance</t>
  </si>
  <si>
    <t>Predevelopment Loan Fee</t>
  </si>
  <si>
    <t>Predevelopment Loan Interest</t>
  </si>
  <si>
    <t>Legal Fees</t>
  </si>
  <si>
    <t xml:space="preserve">Year </t>
  </si>
  <si>
    <t>Total HIP</t>
  </si>
  <si>
    <t>Developer fee</t>
  </si>
  <si>
    <t>NPV cash stream</t>
  </si>
  <si>
    <t>Last proposal</t>
  </si>
  <si>
    <t>Discount Rate</t>
  </si>
  <si>
    <t>30 Year</t>
  </si>
  <si>
    <t>55 Year</t>
  </si>
  <si>
    <t>Replacement Reserve</t>
  </si>
  <si>
    <t>Max</t>
  </si>
  <si>
    <t>Health Insurance/Benefits/Payroll Taxes</t>
  </si>
  <si>
    <t>Payroll - Management and Admin Staff</t>
  </si>
  <si>
    <t>Earthquake Insurance</t>
  </si>
  <si>
    <t>Total Taxes and Insurance</t>
  </si>
  <si>
    <t xml:space="preserve"> Cash Flow</t>
  </si>
  <si>
    <t>Annual</t>
  </si>
  <si>
    <t>Units</t>
  </si>
  <si>
    <t>Total Operating Expenses</t>
  </si>
  <si>
    <t>Utility Allowance</t>
  </si>
  <si>
    <t>Total Income</t>
  </si>
  <si>
    <t>Net Operating Income</t>
  </si>
  <si>
    <t>Developer Fee</t>
  </si>
  <si>
    <t>Surplus/(Shortfall)</t>
  </si>
  <si>
    <t>Alameda County Urban County HOME</t>
  </si>
  <si>
    <t>Total Construction Period Sources</t>
  </si>
  <si>
    <t>7.5% interest only</t>
  </si>
  <si>
    <t xml:space="preserve">Emeryville RDA Construction and Permanent </t>
  </si>
  <si>
    <t>Architect and Design Consultants</t>
  </si>
  <si>
    <t>3% deferred</t>
  </si>
  <si>
    <t>Replacement and Operating Reserves</t>
  </si>
  <si>
    <t>Operating Reserve</t>
  </si>
  <si>
    <t>Structural:  KYA Engineers</t>
  </si>
  <si>
    <t>MEP:  Interface</t>
  </si>
  <si>
    <t>Landscape:  Delaney</t>
  </si>
  <si>
    <t>Arch.</t>
  </si>
  <si>
    <t>Consultants</t>
  </si>
  <si>
    <t xml:space="preserve">Owner </t>
  </si>
  <si>
    <t>Total  Consultants</t>
  </si>
  <si>
    <t>SubTotal  Consultants</t>
  </si>
  <si>
    <t>Architecture:  Gonzales</t>
  </si>
  <si>
    <t>Survey:  Kushner</t>
  </si>
  <si>
    <t>Civil: Van Maren</t>
  </si>
  <si>
    <t>California HCD Predevelopment Loan</t>
  </si>
  <si>
    <t>Planning Application Fees</t>
  </si>
  <si>
    <t>total minus "permits" minus what's paid for in plan check submittal</t>
  </si>
  <si>
    <t>Architect &amp; Design Consultants</t>
  </si>
  <si>
    <t>Contractor's Contingency Allowance</t>
  </si>
  <si>
    <t>Subtotal with Contractor Contingency</t>
  </si>
  <si>
    <t>Subtotal with General Conditions</t>
  </si>
  <si>
    <t>Overhead and Profit</t>
  </si>
  <si>
    <t>Subtotal with Overhead and Profit</t>
  </si>
  <si>
    <t>Contractor Liability Insurance</t>
  </si>
  <si>
    <t>Total Construction Contract</t>
  </si>
  <si>
    <t>Division 1: General Requirements</t>
  </si>
  <si>
    <t>Division 2: Sitework</t>
  </si>
  <si>
    <t>Division 3: Concrete</t>
  </si>
  <si>
    <t>Division 7: Thermal &amp; Moisture Protection</t>
  </si>
  <si>
    <t>Division 8: Windows &amp; Doors</t>
  </si>
  <si>
    <t>Division 10: Specialties</t>
  </si>
  <si>
    <t>Division 11: Equipment</t>
  </si>
  <si>
    <t>Division 12: Furnishings</t>
  </si>
  <si>
    <t>Division 15: Mechanical</t>
  </si>
  <si>
    <t>Division 16: Electrical</t>
  </si>
  <si>
    <t>Subtotal</t>
  </si>
  <si>
    <t>Project Marketing</t>
  </si>
  <si>
    <t>NCCLF Construction Loan</t>
  </si>
  <si>
    <t>grant</t>
  </si>
  <si>
    <t>Geotechnical: Miller Pacific</t>
  </si>
  <si>
    <t>Green Building: HERS/GPR</t>
  </si>
  <si>
    <t>Total Marketing Expenses</t>
  </si>
  <si>
    <t>ADMINISTRATIVE EXPENSES</t>
  </si>
  <si>
    <t>O&amp;M EXPENSES</t>
  </si>
  <si>
    <t>Total O&amp;M Expenses</t>
  </si>
  <si>
    <t>REPLACEMENT &amp; OPERATING RESERVES</t>
  </si>
  <si>
    <t>Total Replacement &amp; Operating Reserve</t>
  </si>
  <si>
    <t>Total- Rents</t>
  </si>
  <si>
    <t>Alameda County CDBG</t>
  </si>
  <si>
    <t>Per Units</t>
  </si>
  <si>
    <t>Inc. Green Communities, PG&amp;E, NEA and Stopwaste.org</t>
  </si>
  <si>
    <t>Permanent Loan Fee</t>
  </si>
  <si>
    <t>Small Grants</t>
  </si>
  <si>
    <t>Maximum Tenant Rent</t>
  </si>
  <si>
    <t>Consultants &amp; Small Grants</t>
  </si>
  <si>
    <t>Predev.</t>
  </si>
  <si>
    <t>Updated per additional work, 1.4.10</t>
  </si>
  <si>
    <t>Environmental: Paid by City</t>
  </si>
  <si>
    <t>Grants</t>
  </si>
  <si>
    <t>Green Communities</t>
  </si>
  <si>
    <t>NEA</t>
  </si>
  <si>
    <t>CMFNH Program</t>
  </si>
  <si>
    <t>Stopwaste.org</t>
  </si>
  <si>
    <t>HCEB</t>
  </si>
  <si>
    <t>AC HCD &amp; HACA</t>
  </si>
  <si>
    <t>Green Building Program Fees</t>
  </si>
  <si>
    <t>Soft Cost Contingency</t>
  </si>
  <si>
    <t>Special Inspections</t>
  </si>
  <si>
    <t>Construction Inspections</t>
  </si>
  <si>
    <t>Attorney: Goldfarb Lipman</t>
  </si>
  <si>
    <t>Appraiser: Karen Simons</t>
  </si>
  <si>
    <t>Dev't Consultant: Fischman</t>
  </si>
  <si>
    <t>Capitalized Operating Reserve</t>
  </si>
  <si>
    <t>Construction Management- Dev. Consultant</t>
  </si>
  <si>
    <t>Demolition</t>
  </si>
  <si>
    <t>Environmental Remediation</t>
  </si>
  <si>
    <t>Site Work</t>
  </si>
  <si>
    <t>Contractor Overhead</t>
  </si>
  <si>
    <t>Contractor Profit</t>
  </si>
  <si>
    <t>Origination Fee</t>
  </si>
  <si>
    <t>Lender Inspection Fees</t>
  </si>
  <si>
    <t>Insurance During Construction</t>
  </si>
  <si>
    <t>Property Taxes</t>
  </si>
  <si>
    <t>Insurance</t>
  </si>
  <si>
    <t>Permanent Lender Legal Fees</t>
  </si>
  <si>
    <t>Sponsor Legal Fees</t>
  </si>
  <si>
    <t>Organizational Legal Fees</t>
  </si>
  <si>
    <t>Total Legal Fees</t>
  </si>
  <si>
    <t>Rent-Up Reserve</t>
  </si>
  <si>
    <t>Appraisal(s)</t>
  </si>
  <si>
    <t>Market Study</t>
  </si>
  <si>
    <t>Physical Needs Assessment</t>
  </si>
  <si>
    <t>Total Reports &amp; Studies</t>
  </si>
  <si>
    <t>CDLAC Fees</t>
  </si>
  <si>
    <t>Furnishings</t>
  </si>
  <si>
    <t>Final Cost Audit Expense</t>
  </si>
  <si>
    <t>Project Administration</t>
  </si>
  <si>
    <t>Syndicator Consultant Fees</t>
  </si>
  <si>
    <t>Broker Fees Paid to Related Party</t>
  </si>
  <si>
    <t>Total Developer Costs</t>
  </si>
  <si>
    <t>Residential Square Footage=</t>
  </si>
  <si>
    <t xml:space="preserve">Total Units= </t>
  </si>
  <si>
    <t>Sources of Financing</t>
  </si>
  <si>
    <t>Total Uses of Funds</t>
  </si>
  <si>
    <t>Emeryville RDA</t>
  </si>
  <si>
    <t>(Must = 0)</t>
  </si>
  <si>
    <t>LAND/ ACQUISITION</t>
  </si>
  <si>
    <t>Land/ Acquisition Cost(s)</t>
  </si>
  <si>
    <t>Acquisition Legal &amp; Closing Costs</t>
  </si>
  <si>
    <t>Total Land/ Acquisition Costs</t>
  </si>
  <si>
    <t>RELOCATION COSTS</t>
  </si>
  <si>
    <t>Temporary Relocation</t>
  </si>
  <si>
    <t>Permanent Relocation</t>
  </si>
  <si>
    <t>Total Relocation Costs</t>
  </si>
  <si>
    <t>NEW CONSTRUCTION/ REHAB</t>
  </si>
  <si>
    <t>Structures</t>
  </si>
  <si>
    <t>Prevailing Wages</t>
  </si>
  <si>
    <t>General Liabilities Insurance</t>
  </si>
  <si>
    <t>Hard Cost Contingency</t>
  </si>
  <si>
    <t>Total New Construction/ Rehab</t>
  </si>
  <si>
    <t>CONSTRUCTION INTEREST &amp; FEES</t>
  </si>
  <si>
    <t>Credit Enhancement &amp; Application Fee</t>
  </si>
  <si>
    <t>Bond Premium</t>
  </si>
  <si>
    <t>Taxes During Construction</t>
  </si>
  <si>
    <t>Title &amp; Recording Fees</t>
  </si>
  <si>
    <t>Predevelopment Interest Expense</t>
  </si>
  <si>
    <t>Total Construction Interest &amp; Fees</t>
  </si>
  <si>
    <t>PERMANENT FINANCING FEES</t>
  </si>
  <si>
    <t>Loan Origination Fees</t>
  </si>
  <si>
    <t>Credit Enhancement &amp; Application Fees</t>
  </si>
  <si>
    <t>Total Permanent Financing Fees</t>
  </si>
  <si>
    <t>ARCHITECT &amp; DESIGN CONSULTANTS</t>
  </si>
  <si>
    <t>Architect &amp; Design Consultants- Predev</t>
  </si>
  <si>
    <t>Owner's Engineers and Consultants</t>
  </si>
  <si>
    <t>Green Building Certification Fees</t>
  </si>
  <si>
    <t>Total Architect &amp; Design Consultants</t>
  </si>
  <si>
    <t>LEGAL FEES</t>
  </si>
  <si>
    <t>Syndication Legal Fees</t>
  </si>
  <si>
    <t>RESERVES</t>
  </si>
  <si>
    <t>Total Reserves</t>
  </si>
  <si>
    <t>REPORTS &amp; STUDIES</t>
  </si>
  <si>
    <t>Environmental Studies</t>
  </si>
  <si>
    <t>DEVELOPER COSTS</t>
  </si>
  <si>
    <t>Developer Fee/ Overhead/ Profit</t>
  </si>
  <si>
    <t>Development Consultant</t>
  </si>
  <si>
    <t>Construction Management &amp; Testing</t>
  </si>
  <si>
    <t>Guarentee Fees</t>
  </si>
  <si>
    <t>OTHER</t>
  </si>
  <si>
    <t>TCAC App/ Allocation/ Monitor Fees</t>
  </si>
  <si>
    <t>Local Permit Fees</t>
  </si>
  <si>
    <t>Other Costs of Bond Insurance</t>
  </si>
  <si>
    <t>Marketing</t>
  </si>
  <si>
    <t>Total Other</t>
  </si>
  <si>
    <t>TOTAL RESIDENTIAL DEV'T COSTS</t>
  </si>
  <si>
    <t>Grant, Loan or Equity?</t>
  </si>
  <si>
    <t>Grant</t>
  </si>
  <si>
    <t>Loan</t>
  </si>
  <si>
    <t>If Loan, Soft or Hard Debt?</t>
  </si>
  <si>
    <t>-</t>
  </si>
  <si>
    <t>Soft</t>
  </si>
  <si>
    <t>Hard</t>
  </si>
  <si>
    <t>If Hard Debt</t>
  </si>
  <si>
    <t>Loan Amortization Period (Years)</t>
  </si>
  <si>
    <t>Initial Loan Rate Assumption</t>
  </si>
  <si>
    <t>Annual Debt Service (Year 1)</t>
  </si>
  <si>
    <t>CIP + 210</t>
  </si>
  <si>
    <t>Loan Adjustment Period</t>
  </si>
  <si>
    <t>Loan Adjustment Caps (Basis Points)</t>
  </si>
  <si>
    <t>Balloon Payments (Term Year)</t>
  </si>
  <si>
    <t>Division 6: Woods &amp; Plastics</t>
  </si>
  <si>
    <t>Division 4: Metals</t>
  </si>
  <si>
    <t>Owner's Consultants</t>
  </si>
  <si>
    <t>NCCLF</t>
  </si>
  <si>
    <t>Loan Closing Fees- Title &amp; Recording</t>
  </si>
  <si>
    <t>Total Awarded Amount</t>
  </si>
  <si>
    <t>Architect &amp; Design Consultants- Construction</t>
  </si>
  <si>
    <t>Loan Term (Years)</t>
  </si>
  <si>
    <t>Residential Square Footage</t>
  </si>
  <si>
    <t>Permanent Loan Commitment &amp; Closing  Fees</t>
  </si>
  <si>
    <t>Lender Legal and Processing Fees</t>
  </si>
  <si>
    <t>Lender Legal &amp; Processing Fees</t>
  </si>
  <si>
    <t>Updated per construction-period work, 4.6.10</t>
  </si>
  <si>
    <t>Permits: Bldg. &amp; Subcontractor</t>
  </si>
  <si>
    <t>PG&amp;E</t>
  </si>
  <si>
    <t>Other Income- Laundry</t>
  </si>
  <si>
    <t>Includes D&amp;H Bid printing costs of $3,000 and $10k retainage</t>
  </si>
  <si>
    <t>Appraisal &amp; Rent Study</t>
  </si>
  <si>
    <t>Appraisal: ?</t>
  </si>
  <si>
    <t>Site Acquisition &amp; Const. Loan Closing Costs</t>
  </si>
  <si>
    <t>Detailed Sources &amp; Uses- Permanent</t>
  </si>
  <si>
    <t>Detailed Sources &amp; Uses- Construction</t>
  </si>
  <si>
    <t xml:space="preserve">  </t>
  </si>
  <si>
    <t>Based on Fee Calculation email on 5/7/2010</t>
  </si>
  <si>
    <t>Alameda Co. HOME</t>
  </si>
  <si>
    <t>Alameda Co. CDBG</t>
  </si>
  <si>
    <t>3% over term of loan (based on 10 month term)</t>
  </si>
  <si>
    <t>Based on 10-month construction period, per Chapman proposal on 5/28</t>
  </si>
  <si>
    <t>Eq. $8000 (AC HCD) + $1500 (HACA)</t>
  </si>
  <si>
    <t>Notes</t>
  </si>
  <si>
    <t>Line Item</t>
  </si>
  <si>
    <t>Added Costs</t>
  </si>
  <si>
    <t>Land/ Acquisition</t>
  </si>
  <si>
    <t>Construction/ Rehab</t>
  </si>
  <si>
    <t>Construction Interest &amp; Fees</t>
  </si>
  <si>
    <t>Permanent Financing Fees</t>
  </si>
  <si>
    <t>Architecture &amp; Design Consultants</t>
  </si>
  <si>
    <t>Reserves</t>
  </si>
  <si>
    <t>Reports &amp; Studies</t>
  </si>
  <si>
    <t>Developer Costs</t>
  </si>
  <si>
    <t>Other</t>
  </si>
  <si>
    <t>Environmental Report: STLC Soil Tests</t>
  </si>
  <si>
    <t>Date of Additional Costs</t>
  </si>
  <si>
    <t>Owner: Civil Engineering</t>
  </si>
  <si>
    <t>Utilities: PG&amp;E Temporary Power</t>
  </si>
  <si>
    <t>Owner: Gonzales Architects</t>
  </si>
  <si>
    <t>Architect: Arborist</t>
  </si>
  <si>
    <t>Owner: Arborist</t>
  </si>
  <si>
    <t>Construction: EBMUD changes</t>
  </si>
  <si>
    <t>Not initially in budget</t>
  </si>
  <si>
    <t>Fence Contract</t>
  </si>
  <si>
    <t>Hard Cost Contingency/ Const. Contingency</t>
  </si>
  <si>
    <t>Utilities- Off-Site and Owner Costs</t>
  </si>
  <si>
    <t>Utilities- Off-Site &amp; Owner Costs</t>
  </si>
  <si>
    <t>Environmental: Construction</t>
  </si>
  <si>
    <t>Arborist</t>
  </si>
  <si>
    <t>Landscape: Inc. in Construction</t>
  </si>
  <si>
    <t>Tree Service- Bartlett</t>
  </si>
  <si>
    <t>Tree Service- Big Chief Tree</t>
  </si>
  <si>
    <t>8/4/10: Final HUD Statement plus NCCLF UCC and Chicago Title Filing Fee</t>
  </si>
  <si>
    <t>8/4/10: $1 removed</t>
  </si>
  <si>
    <t>8/4/10: Includes $10k in added mechanical for sub-meter piping changes</t>
  </si>
  <si>
    <t>8/4/10: Based on EBMUD and PG&amp;E estimates 8/3/2010, needs to be confirmed</t>
  </si>
  <si>
    <t>Category</t>
  </si>
  <si>
    <t>Utilities: EBMUD Installation Fees</t>
  </si>
  <si>
    <t>Utilities: Off-Site &amp; Owner</t>
  </si>
  <si>
    <t>D&amp;H, T.Delaney, Tree</t>
  </si>
  <si>
    <t>Additional Services</t>
  </si>
  <si>
    <t>Document Printing</t>
  </si>
  <si>
    <t>8/4/10:  Special Inspections Contract: Miller Pacific</t>
  </si>
  <si>
    <t>8/4/10: Per commitment letter</t>
  </si>
  <si>
    <t>Emeryville RDA Additional Grant</t>
  </si>
  <si>
    <t>Laundry Expense</t>
  </si>
  <si>
    <t>defer to perm af</t>
  </si>
  <si>
    <t>defer $341 to perm af</t>
  </si>
  <si>
    <t>City Request for Add. Funds</t>
  </si>
  <si>
    <t>D&amp;H: CO #1</t>
  </si>
  <si>
    <t>D&amp;H: CO #2</t>
  </si>
  <si>
    <t>D&amp;H: CO #3</t>
  </si>
  <si>
    <t>D&amp;H: CO #4</t>
  </si>
  <si>
    <t>Construction Period Additional Costs</t>
  </si>
  <si>
    <t>Permits: Request for Assigned Address</t>
  </si>
  <si>
    <t>Requested to City</t>
  </si>
  <si>
    <t>Monthly</t>
  </si>
  <si>
    <t>United Site Services, never transferred to D&amp;H</t>
  </si>
  <si>
    <t>Tree Protection</t>
  </si>
  <si>
    <t>AC HCD #3: Req'd Soils Tests</t>
  </si>
  <si>
    <t>Owner Consultant</t>
  </si>
  <si>
    <t>AC HCD#4: Tree Protection</t>
  </si>
  <si>
    <t>AC HCD #4/ ERDA #2</t>
  </si>
  <si>
    <t>AC HCD #5/ ERDA #3</t>
  </si>
  <si>
    <t>AC HCD#5: Tree Protection</t>
  </si>
  <si>
    <t>AC HCD #6/ ERDA #4</t>
  </si>
  <si>
    <t>T.Delaney: Landscape</t>
  </si>
  <si>
    <t>Tree Protection Add Services</t>
  </si>
  <si>
    <t>AC HCD#6: Tree Protection</t>
  </si>
  <si>
    <t>Utilities Coord.</t>
  </si>
  <si>
    <t>Utilities: PG&amp;E Elec Distrib &amp; Service Extension</t>
  </si>
  <si>
    <t>Utilities: PG&amp;E Gas &amp; Electric Agreements</t>
  </si>
  <si>
    <t>Estimate</t>
  </si>
  <si>
    <t>Included above in COP changes</t>
  </si>
  <si>
    <t>Utilities: Phone &amp; Cable Installation</t>
  </si>
  <si>
    <t>CATV within PG&amp;E Contract</t>
  </si>
  <si>
    <t>11/15/2010-4/1/2011</t>
  </si>
  <si>
    <t>11/15/2010-4/1/2011 estimate</t>
  </si>
  <si>
    <t>Architect: Tree Protection/ T.Delaney</t>
  </si>
  <si>
    <t>Within T.Delaney Contract</t>
  </si>
  <si>
    <t>Tree Service</t>
  </si>
  <si>
    <t>To remove ropes at end of project</t>
  </si>
  <si>
    <t>Remediation</t>
  </si>
  <si>
    <t>HIDDEN SHEETS IN THIS WORKBOOK</t>
  </si>
  <si>
    <t>Stigen Trust Fund</t>
  </si>
  <si>
    <t>Total Construction Contract - G.C.</t>
  </si>
  <si>
    <t>3/17/11: Per Stigen Trust</t>
  </si>
  <si>
    <t>Per Bedroom Per Year</t>
  </si>
  <si>
    <t>DIRECT STAFF EXPENSES</t>
  </si>
  <si>
    <t>Water / Sewer</t>
  </si>
  <si>
    <t>Furnishings Assistance</t>
  </si>
  <si>
    <t>Per Unit/Bedroom</t>
  </si>
  <si>
    <t xml:space="preserve">Appraisal </t>
  </si>
  <si>
    <t>Loan Closing Costs</t>
  </si>
  <si>
    <t>Inspections</t>
  </si>
  <si>
    <t>3/28/11: Based on Plaza Drive estimate</t>
  </si>
  <si>
    <t>Building Permits</t>
  </si>
  <si>
    <t>Income- Tenants</t>
  </si>
  <si>
    <t>Expense- Vacancy</t>
  </si>
  <si>
    <t>Estimated Gross Income- Units</t>
  </si>
  <si>
    <t>Cashflow from Units</t>
  </si>
  <si>
    <t>Starting Balance Reserve</t>
  </si>
  <si>
    <t>Interest</t>
  </si>
  <si>
    <t>Ending Balance</t>
  </si>
  <si>
    <t>Starting Operating Reserve</t>
  </si>
  <si>
    <t>Interest on Subsidy Reserve</t>
  </si>
  <si>
    <t>Rent Subsidy</t>
  </si>
  <si>
    <t>SCHEDULED RENTS</t>
  </si>
  <si>
    <r>
      <t xml:space="preserve">Utility Mix (3BR): </t>
    </r>
    <r>
      <rPr>
        <sz val="10"/>
        <color indexed="53"/>
        <rFont val="Calibri"/>
        <family val="2"/>
      </rPr>
      <t>HCEB</t>
    </r>
    <r>
      <rPr>
        <sz val="10"/>
        <rFont val="Calibri"/>
        <family val="2"/>
      </rPr>
      <t xml:space="preserve"> pays all utilities</t>
    </r>
  </si>
  <si>
    <t>No. Units/ Bedrooms</t>
  </si>
  <si>
    <t>Income</t>
  </si>
  <si>
    <t>Expenses</t>
  </si>
  <si>
    <t>RENTS</t>
  </si>
  <si>
    <t>OPERATING BUDGET</t>
  </si>
  <si>
    <t>CONSTRUCTION COSTS</t>
  </si>
  <si>
    <t>OWNERS CONSTRUCTION COSTS</t>
  </si>
  <si>
    <t>SOURCES OF FUNDS</t>
  </si>
  <si>
    <t>USES OF FUNDS</t>
  </si>
  <si>
    <t>Total Sources- Permanent</t>
  </si>
  <si>
    <t xml:space="preserve">3/17/11: Full trust amount  </t>
  </si>
  <si>
    <t>30 YEAR CASH FLOW</t>
  </si>
  <si>
    <t>Per Bedroom Per Month</t>
  </si>
  <si>
    <t>Vacancy</t>
  </si>
  <si>
    <t>Annual Project Rent</t>
  </si>
  <si>
    <t>Rent Subsidy Draw</t>
  </si>
  <si>
    <t>TotalExpenses</t>
  </si>
  <si>
    <t>1 BR  - Anne Stigen</t>
  </si>
  <si>
    <t>7/6/11: surplus will become operating reserve</t>
  </si>
  <si>
    <t>Credit Reports / Background Checks</t>
  </si>
  <si>
    <t>one unit turnover per year, $20/hr for 8 hrs</t>
  </si>
  <si>
    <t>taxes waived; fees and assessments only</t>
  </si>
  <si>
    <t>$850 per every $500k worth, Chapman</t>
  </si>
  <si>
    <t>asking price</t>
  </si>
  <si>
    <t>review for consistency with trust documents</t>
  </si>
  <si>
    <t>7/24/2011: Current SSI</t>
  </si>
  <si>
    <t>1 BR - Live-In Aide</t>
  </si>
  <si>
    <t xml:space="preserve">1 BR - Roommate </t>
  </si>
  <si>
    <t>Live-in Aide pays $0</t>
  </si>
  <si>
    <t>Housing Authority Section 8 Payment</t>
  </si>
  <si>
    <t>monthly rent amount</t>
  </si>
  <si>
    <t>HCEB owns washer/dryers, no income</t>
  </si>
  <si>
    <t>NOTES</t>
  </si>
  <si>
    <t>As of 4/1/2011, 2-bedroom Section 8 payment standard is $1254</t>
  </si>
  <si>
    <t>Sutters Mill Court WITH SECTION 8</t>
  </si>
  <si>
    <t>Assumes background checks only on 2-br tenants</t>
  </si>
  <si>
    <t>Expenses located under Management Fees</t>
  </si>
  <si>
    <t xml:space="preserve"> Assumes occasional flyer</t>
  </si>
  <si>
    <t>Taken from advertising</t>
  </si>
  <si>
    <t>Is this realistic or is it to make the numbers work? Need to put amount in management agreement</t>
  </si>
  <si>
    <t>Has JEL confirmed these numbers?</t>
  </si>
  <si>
    <r>
      <t xml:space="preserve">Utility Mix (2BR): </t>
    </r>
    <r>
      <rPr>
        <sz val="10"/>
        <color indexed="53"/>
        <rFont val="Calibri"/>
        <family val="2"/>
      </rPr>
      <t>HCEB</t>
    </r>
    <r>
      <rPr>
        <sz val="10"/>
        <rFont val="Calibri"/>
        <family val="2"/>
      </rPr>
      <t xml:space="preserve"> pays water, trash; tenants pay electricity, electric cooking, AC, gas heating</t>
    </r>
  </si>
  <si>
    <t>HCEB not paying for internet, cable, phone, security, etc.</t>
  </si>
  <si>
    <t>HCEB pays electricity on 3-br only (including AC)</t>
  </si>
  <si>
    <t>HCEB pays water/sewer for both</t>
  </si>
  <si>
    <t>HCEB pays trash for both</t>
  </si>
  <si>
    <t>Since HCEB owns washer/dryer, assume some direct expenses annually</t>
  </si>
  <si>
    <t>Per GSCS contract, $100 per property</t>
  </si>
  <si>
    <t>No annual costs</t>
  </si>
  <si>
    <t>Will we keep a separate bank account for this? When do we need to?</t>
  </si>
  <si>
    <t>DL, please confirm</t>
  </si>
  <si>
    <t>Delete if positive cash flow?</t>
  </si>
  <si>
    <t>No debt on property, positive cash flow ok? DL and JEL to confirm</t>
  </si>
  <si>
    <t>Housing Authority payment is $384, tenant payment $324, total is $708</t>
  </si>
  <si>
    <t>add contingency for change orders</t>
  </si>
  <si>
    <t>BBI CONSTRUCTION CONTRACT</t>
  </si>
  <si>
    <t>Materials</t>
  </si>
  <si>
    <t>Labor</t>
  </si>
  <si>
    <t>Includes Sammy discharge pipe work from HA inspection</t>
  </si>
  <si>
    <t>Bathroom and Kitchen Remodel - Divisions 9, 12, 15, 16</t>
  </si>
  <si>
    <t>Washer Dryer for both sides</t>
  </si>
  <si>
    <t>Purchased by HCEB for 31 and 33 Sutters Mill</t>
  </si>
  <si>
    <t>Washer dryer cost paid by owner, need install</t>
  </si>
  <si>
    <t>contigency for handrail installation</t>
  </si>
  <si>
    <t>Included in cost estimate</t>
  </si>
  <si>
    <t>should this be higher? Needed for linoleum flooring and exterior handrail</t>
  </si>
  <si>
    <t>GRAND CONSTRUCTION TOTAL</t>
  </si>
  <si>
    <t>Updated</t>
  </si>
  <si>
    <t>GOOD SHELTER/CAPURRO PLUMBING CONSTRUCTION CONTRACT</t>
  </si>
  <si>
    <t>Trustee will pay $0 in rent</t>
  </si>
  <si>
    <t>includes change orders #1,2</t>
  </si>
  <si>
    <t>Change Order #1</t>
  </si>
  <si>
    <t>Change Order #2</t>
  </si>
  <si>
    <t>Linoleum costs added to original vinyl cost</t>
  </si>
  <si>
    <t>Handrail</t>
  </si>
  <si>
    <t>Heater repair</t>
  </si>
  <si>
    <t>Fireplace Cleaning and Inspection</t>
  </si>
  <si>
    <t>Planter Boxes</t>
  </si>
  <si>
    <t>TV, TV Stand</t>
  </si>
  <si>
    <t>Welcome Party</t>
  </si>
  <si>
    <t>GSCS work</t>
  </si>
  <si>
    <t>33 Sutters punchlist work from Steve</t>
  </si>
  <si>
    <t>One voucher is 708, the other voucher is 697</t>
  </si>
  <si>
    <t>1 BR - Other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</si>
</sst>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mm\ d\,\ yyyy"/>
    <numFmt numFmtId="169" formatCode="0_);\(0\)"/>
    <numFmt numFmtId="170" formatCode="dd\-mmm\-yy_)"/>
    <numFmt numFmtId="171" formatCode="hh:mm\ AM/PM_)"/>
    <numFmt numFmtId="172" formatCode="0_)"/>
    <numFmt numFmtId="173" formatCode="0.0"/>
    <numFmt numFmtId="174" formatCode="0.000"/>
    <numFmt numFmtId="175" formatCode="_([$$-409]* #,##0.00_);_([$$-409]* \(#,##0.00\);_([$$-409]* &quot;-&quot;??_);_(@_)"/>
    <numFmt numFmtId="176" formatCode="00000"/>
    <numFmt numFmtId="177" formatCode="&quot;$&quot;#,##0.00"/>
    <numFmt numFmtId="178" formatCode="&quot;$&quot;#,##0"/>
    <numFmt numFmtId="179" formatCode="[$-409]dddd\,\ mmmm\ dd\,\ yyyy"/>
    <numFmt numFmtId="180" formatCode="m/d/yy;@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.0_);_(* \(#,##0.0\);_(* &quot;-&quot;?_);_(@_)"/>
    <numFmt numFmtId="186" formatCode="mm/dd/yy"/>
    <numFmt numFmtId="187" formatCode="[$€-2]\ #,##0.00_);[Red]\([$€-2]\ #,##0.00\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m/d"/>
    <numFmt numFmtId="195" formatCode="&quot;R$ &quot;#,##0.00"/>
    <numFmt numFmtId="196" formatCode="[$$-409]#,##0.00"/>
    <numFmt numFmtId="197" formatCode="0;[Red]0"/>
    <numFmt numFmtId="198" formatCode="#,##0.0"/>
    <numFmt numFmtId="199" formatCode="&quot;$&quot;#,##0.0_);\(&quot;$&quot;#,##0.0\)"/>
    <numFmt numFmtId="200" formatCode="#,##0;\-#,##0;&quot;-&quot;"/>
    <numFmt numFmtId="201" formatCode=".0%_);\(.0%\)"/>
    <numFmt numFmtId="202" formatCode="&quot;$&quot;#,##0_);[Red]\(&quot;$&quot;#,##0\);&quot;&quot;"/>
    <numFmt numFmtId="203" formatCode="0.E+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#,##0.0_);\(#,##0.0\)"/>
    <numFmt numFmtId="211" formatCode="_(&quot;$&quot;* #,##0.0_);_(&quot;$&quot;* \(#,##0.0\);_(&quot;$&quot;* &quot;-&quot;??_);_(@_)"/>
    <numFmt numFmtId="212" formatCode="0.00_);\(0.00\)"/>
    <numFmt numFmtId="213" formatCode="[$-409]mmmm\ d\,\ yyyy;@"/>
    <numFmt numFmtId="214" formatCode="#,##0.0_);[Red]\(#,##0.0\)"/>
    <numFmt numFmtId="215" formatCode="_(&quot;$&quot;* #,##0.0_);_(&quot;$&quot;* \(#,##0.0\);_(&quot;$&quot;* &quot;-&quot;?_);_(@_)"/>
    <numFmt numFmtId="216" formatCode="&quot;$&quot;#,##0.0_);[Red]\(&quot;$&quot;#,##0.0\)"/>
    <numFmt numFmtId="217" formatCode="&quot;$&quot;#,##0.0"/>
  </numFmts>
  <fonts count="67">
    <font>
      <sz val="10"/>
      <name val="Arial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name val="‚l‚r –¾’©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6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sz val="10"/>
      <color indexed="61"/>
      <name val="Calibri"/>
      <family val="2"/>
    </font>
    <font>
      <b/>
      <sz val="12"/>
      <name val="Calibri"/>
      <family val="2"/>
    </font>
    <font>
      <sz val="10"/>
      <color indexed="5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000"/>
      <name val="Calibri"/>
      <family val="2"/>
    </font>
    <font>
      <sz val="10"/>
      <color theme="9" tint="-0.24997000396251678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double"/>
      <top/>
      <bottom style="thin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 style="double"/>
      <top/>
      <bottom style="hair"/>
    </border>
    <border>
      <left style="double"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/>
    </border>
    <border>
      <left/>
      <right style="thin"/>
      <top style="hair"/>
      <bottom/>
    </border>
    <border>
      <left style="double"/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0" borderId="0">
      <alignment horizontal="center" wrapText="1"/>
      <protection locked="0"/>
    </xf>
    <xf numFmtId="0" fontId="49" fillId="26" borderId="0" applyNumberFormat="0" applyBorder="0" applyAlignment="0" applyProtection="0"/>
    <xf numFmtId="200" fontId="2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Alignment="0">
      <protection/>
    </xf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38" fontId="6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1" borderId="1" applyNumberFormat="0" applyAlignment="0" applyProtection="0"/>
    <xf numFmtId="10" fontId="6" fillId="32" borderId="8" applyNumberFormat="0" applyBorder="0" applyAlignment="0" applyProtection="0"/>
    <xf numFmtId="0" fontId="58" fillId="0" borderId="9" applyNumberFormat="0" applyFill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59" fillId="33" borderId="0" applyNumberFormat="0" applyBorder="0" applyAlignment="0" applyProtection="0"/>
    <xf numFmtId="198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60" fillId="27" borderId="11" applyNumberFormat="0" applyAlignment="0" applyProtection="0"/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11" fillId="0" borderId="0" applyNumberFormat="0" applyFill="0" applyBorder="0" applyAlignment="0" applyProtection="0"/>
    <xf numFmtId="40" fontId="12" fillId="0" borderId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3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3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38" fontId="0" fillId="0" borderId="15" xfId="0" applyNumberFormat="1" applyBorder="1" applyAlignment="1">
      <alignment/>
    </xf>
    <xf numFmtId="6" fontId="0" fillId="0" borderId="0" xfId="0" applyNumberFormat="1" applyAlignment="1">
      <alignment/>
    </xf>
    <xf numFmtId="38" fontId="13" fillId="0" borderId="0" xfId="0" applyNumberFormat="1" applyFont="1" applyAlignment="1">
      <alignment wrapText="1"/>
    </xf>
    <xf numFmtId="6" fontId="0" fillId="0" borderId="16" xfId="0" applyNumberFormat="1" applyBorder="1" applyAlignment="1">
      <alignment/>
    </xf>
    <xf numFmtId="6" fontId="1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right" indent="1"/>
    </xf>
    <xf numFmtId="6" fontId="0" fillId="0" borderId="0" xfId="0" applyNumberFormat="1" applyBorder="1" applyAlignment="1">
      <alignment/>
    </xf>
    <xf numFmtId="0" fontId="13" fillId="0" borderId="18" xfId="0" applyFont="1" applyBorder="1" applyAlignment="1">
      <alignment horizontal="right" indent="1"/>
    </xf>
    <xf numFmtId="6" fontId="13" fillId="0" borderId="3" xfId="0" applyNumberFormat="1" applyFont="1" applyBorder="1" applyAlignment="1">
      <alignment/>
    </xf>
    <xf numFmtId="6" fontId="13" fillId="0" borderId="19" xfId="0" applyNumberFormat="1" applyFont="1" applyBorder="1" applyAlignment="1">
      <alignment/>
    </xf>
    <xf numFmtId="38" fontId="13" fillId="0" borderId="0" xfId="0" applyNumberFormat="1" applyFont="1" applyAlignment="1">
      <alignment horizontal="right" wrapText="1"/>
    </xf>
    <xf numFmtId="0" fontId="13" fillId="0" borderId="20" xfId="0" applyFont="1" applyBorder="1" applyAlignment="1">
      <alignment horizontal="right" indent="1"/>
    </xf>
    <xf numFmtId="0" fontId="0" fillId="0" borderId="21" xfId="0" applyFont="1" applyBorder="1" applyAlignment="1">
      <alignment/>
    </xf>
    <xf numFmtId="0" fontId="13" fillId="0" borderId="20" xfId="0" applyFont="1" applyFill="1" applyBorder="1" applyAlignment="1">
      <alignment horizontal="right" indent="1"/>
    </xf>
    <xf numFmtId="0" fontId="0" fillId="0" borderId="0" xfId="0" applyAlignment="1">
      <alignment horizontal="left" indent="1"/>
    </xf>
    <xf numFmtId="9" fontId="0" fillId="0" borderId="0" xfId="0" applyNumberFormat="1" applyAlignment="1">
      <alignment horizontal="left" indent="1"/>
    </xf>
    <xf numFmtId="6" fontId="0" fillId="0" borderId="8" xfId="0" applyNumberFormat="1" applyBorder="1" applyAlignment="1">
      <alignment/>
    </xf>
    <xf numFmtId="6" fontId="13" fillId="0" borderId="22" xfId="0" applyNumberFormat="1" applyFont="1" applyBorder="1" applyAlignment="1">
      <alignment/>
    </xf>
    <xf numFmtId="178" fontId="0" fillId="0" borderId="8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Fill="1" applyBorder="1" applyAlignment="1">
      <alignment/>
    </xf>
    <xf numFmtId="178" fontId="13" fillId="0" borderId="22" xfId="0" applyNumberFormat="1" applyFont="1" applyBorder="1" applyAlignment="1">
      <alignment/>
    </xf>
    <xf numFmtId="178" fontId="13" fillId="0" borderId="24" xfId="0" applyNumberFormat="1" applyFont="1" applyBorder="1" applyAlignment="1">
      <alignment/>
    </xf>
    <xf numFmtId="6" fontId="0" fillId="0" borderId="25" xfId="0" applyNumberFormat="1" applyBorder="1" applyAlignment="1">
      <alignment/>
    </xf>
    <xf numFmtId="6" fontId="13" fillId="0" borderId="24" xfId="0" applyNumberFormat="1" applyFont="1" applyFill="1" applyBorder="1" applyAlignment="1">
      <alignment/>
    </xf>
    <xf numFmtId="6" fontId="0" fillId="0" borderId="23" xfId="0" applyNumberFormat="1" applyBorder="1" applyAlignment="1">
      <alignment/>
    </xf>
    <xf numFmtId="6" fontId="0" fillId="0" borderId="23" xfId="0" applyNumberFormat="1" applyFont="1" applyBorder="1" applyAlignment="1">
      <alignment/>
    </xf>
    <xf numFmtId="6" fontId="0" fillId="0" borderId="8" xfId="0" applyNumberFormat="1" applyFont="1" applyBorder="1" applyAlignment="1">
      <alignment/>
    </xf>
    <xf numFmtId="6" fontId="13" fillId="0" borderId="24" xfId="0" applyNumberFormat="1" applyFont="1" applyBorder="1" applyAlignment="1">
      <alignment/>
    </xf>
    <xf numFmtId="6" fontId="0" fillId="0" borderId="25" xfId="0" applyNumberFormat="1" applyBorder="1" applyAlignment="1">
      <alignment/>
    </xf>
    <xf numFmtId="9" fontId="0" fillId="0" borderId="0" xfId="0" applyNumberFormat="1" applyFont="1" applyAlignment="1">
      <alignment horizontal="left" indent="1"/>
    </xf>
    <xf numFmtId="0" fontId="0" fillId="0" borderId="21" xfId="0" applyFont="1" applyBorder="1" applyAlignment="1">
      <alignment/>
    </xf>
    <xf numFmtId="6" fontId="13" fillId="0" borderId="26" xfId="0" applyNumberFormat="1" applyFont="1" applyBorder="1" applyAlignment="1">
      <alignment/>
    </xf>
    <xf numFmtId="0" fontId="0" fillId="0" borderId="0" xfId="0" applyNumberFormat="1" applyFill="1" applyAlignment="1">
      <alignment horizontal="left" indent="1"/>
    </xf>
    <xf numFmtId="0" fontId="0" fillId="0" borderId="0" xfId="0" applyFont="1" applyAlignment="1">
      <alignment horizontal="left" indent="1"/>
    </xf>
    <xf numFmtId="6" fontId="0" fillId="0" borderId="25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213" fontId="0" fillId="0" borderId="0" xfId="0" applyNumberFormat="1" applyBorder="1" applyAlignment="1">
      <alignment horizontal="left"/>
    </xf>
    <xf numFmtId="6" fontId="13" fillId="0" borderId="19" xfId="0" applyNumberFormat="1" applyFont="1" applyBorder="1" applyAlignment="1">
      <alignment/>
    </xf>
    <xf numFmtId="38" fontId="0" fillId="0" borderId="27" xfId="0" applyNumberFormat="1" applyBorder="1" applyAlignment="1">
      <alignment horizontal="center"/>
    </xf>
    <xf numFmtId="38" fontId="0" fillId="0" borderId="27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213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8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178" fontId="13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30" borderId="28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/>
    </xf>
    <xf numFmtId="0" fontId="2" fillId="0" borderId="30" xfId="0" applyFont="1" applyBorder="1" applyAlignment="1">
      <alignment horizontal="left" indent="1"/>
    </xf>
    <xf numFmtId="178" fontId="2" fillId="0" borderId="31" xfId="0" applyNumberFormat="1" applyFont="1" applyBorder="1" applyAlignment="1">
      <alignment horizontal="right" indent="1"/>
    </xf>
    <xf numFmtId="178" fontId="2" fillId="0" borderId="32" xfId="0" applyNumberFormat="1" applyFont="1" applyBorder="1" applyAlignment="1">
      <alignment horizontal="right" indent="1"/>
    </xf>
    <xf numFmtId="178" fontId="2" fillId="0" borderId="30" xfId="0" applyNumberFormat="1" applyFont="1" applyFill="1" applyBorder="1" applyAlignment="1">
      <alignment horizontal="right" indent="1"/>
    </xf>
    <xf numFmtId="178" fontId="2" fillId="0" borderId="30" xfId="0" applyNumberFormat="1" applyFont="1" applyBorder="1" applyAlignment="1">
      <alignment horizontal="right" indent="1"/>
    </xf>
    <xf numFmtId="178" fontId="2" fillId="0" borderId="33" xfId="0" applyNumberFormat="1" applyFont="1" applyBorder="1" applyAlignment="1">
      <alignment horizontal="right" indent="1"/>
    </xf>
    <xf numFmtId="178" fontId="2" fillId="30" borderId="34" xfId="0" applyNumberFormat="1" applyFont="1" applyFill="1" applyBorder="1" applyAlignment="1">
      <alignment horizontal="right" indent="1"/>
    </xf>
    <xf numFmtId="178" fontId="2" fillId="30" borderId="35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178" fontId="2" fillId="0" borderId="36" xfId="0" applyNumberFormat="1" applyFont="1" applyBorder="1" applyAlignment="1">
      <alignment horizontal="right" indent="1"/>
    </xf>
    <xf numFmtId="178" fontId="2" fillId="0" borderId="37" xfId="0" applyNumberFormat="1" applyFont="1" applyBorder="1" applyAlignment="1">
      <alignment horizontal="right" indent="1"/>
    </xf>
    <xf numFmtId="178" fontId="2" fillId="0" borderId="0" xfId="0" applyNumberFormat="1" applyFont="1" applyFill="1" applyAlignment="1">
      <alignment horizontal="right" indent="1"/>
    </xf>
    <xf numFmtId="178" fontId="2" fillId="0" borderId="0" xfId="0" applyNumberFormat="1" applyFont="1" applyAlignment="1">
      <alignment horizontal="right" indent="1"/>
    </xf>
    <xf numFmtId="178" fontId="2" fillId="0" borderId="38" xfId="0" applyNumberFormat="1" applyFont="1" applyBorder="1" applyAlignment="1">
      <alignment horizontal="right" indent="1"/>
    </xf>
    <xf numFmtId="178" fontId="2" fillId="30" borderId="28" xfId="0" applyNumberFormat="1" applyFont="1" applyFill="1" applyBorder="1" applyAlignment="1">
      <alignment horizontal="right" indent="1"/>
    </xf>
    <xf numFmtId="178" fontId="2" fillId="30" borderId="39" xfId="0" applyNumberFormat="1" applyFont="1" applyFill="1" applyBorder="1" applyAlignment="1">
      <alignment/>
    </xf>
    <xf numFmtId="0" fontId="16" fillId="30" borderId="0" xfId="0" applyFont="1" applyFill="1" applyAlignment="1">
      <alignment horizontal="right" indent="1"/>
    </xf>
    <xf numFmtId="178" fontId="16" fillId="30" borderId="36" xfId="0" applyNumberFormat="1" applyFont="1" applyFill="1" applyBorder="1" applyAlignment="1">
      <alignment horizontal="right" indent="1"/>
    </xf>
    <xf numFmtId="178" fontId="2" fillId="30" borderId="37" xfId="0" applyNumberFormat="1" applyFont="1" applyFill="1" applyBorder="1" applyAlignment="1">
      <alignment horizontal="right" indent="1"/>
    </xf>
    <xf numFmtId="178" fontId="2" fillId="30" borderId="0" xfId="0" applyNumberFormat="1" applyFont="1" applyFill="1" applyAlignment="1">
      <alignment horizontal="right" indent="1"/>
    </xf>
    <xf numFmtId="178" fontId="2" fillId="30" borderId="38" xfId="0" applyNumberFormat="1" applyFont="1" applyFill="1" applyBorder="1" applyAlignment="1">
      <alignment horizontal="right" indent="1"/>
    </xf>
    <xf numFmtId="178" fontId="2" fillId="0" borderId="34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left"/>
    </xf>
    <xf numFmtId="178" fontId="2" fillId="0" borderId="28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/>
    </xf>
    <xf numFmtId="178" fontId="2" fillId="0" borderId="40" xfId="0" applyNumberFormat="1" applyFont="1" applyBorder="1" applyAlignment="1">
      <alignment horizontal="right" indent="1"/>
    </xf>
    <xf numFmtId="178" fontId="2" fillId="0" borderId="41" xfId="0" applyNumberFormat="1" applyFont="1" applyBorder="1" applyAlignment="1">
      <alignment horizontal="right" indent="1"/>
    </xf>
    <xf numFmtId="178" fontId="2" fillId="0" borderId="29" xfId="0" applyNumberFormat="1" applyFont="1" applyBorder="1" applyAlignment="1">
      <alignment horizontal="right" indent="1"/>
    </xf>
    <xf numFmtId="178" fontId="2" fillId="0" borderId="42" xfId="0" applyNumberFormat="1" applyFont="1" applyBorder="1" applyAlignment="1">
      <alignment horizontal="right" indent="1"/>
    </xf>
    <xf numFmtId="0" fontId="2" fillId="0" borderId="43" xfId="0" applyFont="1" applyBorder="1" applyAlignment="1">
      <alignment horizontal="left" indent="1"/>
    </xf>
    <xf numFmtId="178" fontId="2" fillId="0" borderId="44" xfId="0" applyNumberFormat="1" applyFont="1" applyBorder="1" applyAlignment="1">
      <alignment horizontal="right" indent="1"/>
    </xf>
    <xf numFmtId="178" fontId="2" fillId="0" borderId="45" xfId="0" applyNumberFormat="1" applyFont="1" applyBorder="1" applyAlignment="1">
      <alignment horizontal="right" indent="1"/>
    </xf>
    <xf numFmtId="178" fontId="2" fillId="0" borderId="43" xfId="0" applyNumberFormat="1" applyFont="1" applyBorder="1" applyAlignment="1">
      <alignment horizontal="right" indent="1"/>
    </xf>
    <xf numFmtId="178" fontId="2" fillId="0" borderId="46" xfId="0" applyNumberFormat="1" applyFont="1" applyBorder="1" applyAlignment="1">
      <alignment horizontal="right" indent="1"/>
    </xf>
    <xf numFmtId="178" fontId="2" fillId="30" borderId="47" xfId="0" applyNumberFormat="1" applyFont="1" applyFill="1" applyBorder="1" applyAlignment="1">
      <alignment horizontal="right" indent="1"/>
    </xf>
    <xf numFmtId="178" fontId="2" fillId="30" borderId="48" xfId="0" applyNumberFormat="1" applyFont="1" applyFill="1" applyBorder="1" applyAlignment="1">
      <alignment/>
    </xf>
    <xf numFmtId="0" fontId="2" fillId="0" borderId="49" xfId="0" applyFont="1" applyBorder="1" applyAlignment="1">
      <alignment horizontal="left" indent="1"/>
    </xf>
    <xf numFmtId="178" fontId="2" fillId="0" borderId="50" xfId="0" applyNumberFormat="1" applyFont="1" applyBorder="1" applyAlignment="1">
      <alignment horizontal="right" indent="1"/>
    </xf>
    <xf numFmtId="178" fontId="2" fillId="0" borderId="51" xfId="0" applyNumberFormat="1" applyFont="1" applyBorder="1" applyAlignment="1">
      <alignment horizontal="right" indent="1"/>
    </xf>
    <xf numFmtId="178" fontId="2" fillId="0" borderId="49" xfId="0" applyNumberFormat="1" applyFont="1" applyBorder="1" applyAlignment="1">
      <alignment horizontal="right" indent="1"/>
    </xf>
    <xf numFmtId="178" fontId="2" fillId="0" borderId="52" xfId="0" applyNumberFormat="1" applyFont="1" applyBorder="1" applyAlignment="1">
      <alignment horizontal="right" indent="1"/>
    </xf>
    <xf numFmtId="178" fontId="2" fillId="30" borderId="53" xfId="0" applyNumberFormat="1" applyFont="1" applyFill="1" applyBorder="1" applyAlignment="1">
      <alignment horizontal="right" indent="1"/>
    </xf>
    <xf numFmtId="178" fontId="2" fillId="30" borderId="54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 indent="1"/>
    </xf>
    <xf numFmtId="178" fontId="2" fillId="0" borderId="55" xfId="0" applyNumberFormat="1" applyFont="1" applyFill="1" applyBorder="1" applyAlignment="1">
      <alignment horizontal="right" indent="1"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78" fontId="16" fillId="30" borderId="56" xfId="0" applyNumberFormat="1" applyFont="1" applyFill="1" applyBorder="1" applyAlignment="1">
      <alignment/>
    </xf>
    <xf numFmtId="178" fontId="16" fillId="30" borderId="41" xfId="0" applyNumberFormat="1" applyFont="1" applyFill="1" applyBorder="1" applyAlignment="1">
      <alignment/>
    </xf>
    <xf numFmtId="178" fontId="16" fillId="30" borderId="29" xfId="0" applyNumberFormat="1" applyFont="1" applyFill="1" applyBorder="1" applyAlignment="1">
      <alignment/>
    </xf>
    <xf numFmtId="178" fontId="16" fillId="30" borderId="42" xfId="0" applyNumberFormat="1" applyFont="1" applyFill="1" applyBorder="1" applyAlignment="1">
      <alignment/>
    </xf>
    <xf numFmtId="178" fontId="16" fillId="0" borderId="28" xfId="0" applyNumberFormat="1" applyFont="1" applyFill="1" applyBorder="1" applyAlignment="1">
      <alignment/>
    </xf>
    <xf numFmtId="0" fontId="16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14" fillId="0" borderId="8" xfId="0" applyFont="1" applyBorder="1" applyAlignment="1">
      <alignment horizontal="right" inden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213" fontId="2" fillId="0" borderId="0" xfId="0" applyNumberFormat="1" applyFont="1" applyAlignment="1">
      <alignment horizontal="left"/>
    </xf>
    <xf numFmtId="0" fontId="0" fillId="0" borderId="16" xfId="0" applyFont="1" applyBorder="1" applyAlignment="1">
      <alignment/>
    </xf>
    <xf numFmtId="0" fontId="13" fillId="0" borderId="17" xfId="0" applyFont="1" applyBorder="1" applyAlignment="1">
      <alignment horizontal="right" indent="1"/>
    </xf>
    <xf numFmtId="6" fontId="0" fillId="0" borderId="25" xfId="0" applyNumberFormat="1" applyFont="1" applyFill="1" applyBorder="1" applyAlignment="1">
      <alignment/>
    </xf>
    <xf numFmtId="0" fontId="16" fillId="30" borderId="0" xfId="0" applyFont="1" applyFill="1" applyAlignment="1">
      <alignment horizontal="center" vertical="top" wrapText="1"/>
    </xf>
    <xf numFmtId="0" fontId="16" fillId="30" borderId="0" xfId="0" applyFont="1" applyFill="1" applyBorder="1" applyAlignment="1">
      <alignment horizontal="center" vertical="top" wrapText="1"/>
    </xf>
    <xf numFmtId="0" fontId="16" fillId="30" borderId="36" xfId="0" applyFont="1" applyFill="1" applyBorder="1" applyAlignment="1">
      <alignment horizontal="center" vertical="top" wrapText="1"/>
    </xf>
    <xf numFmtId="0" fontId="16" fillId="30" borderId="3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indent="1"/>
    </xf>
    <xf numFmtId="178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vertical="center" indent="1"/>
    </xf>
    <xf numFmtId="6" fontId="0" fillId="0" borderId="0" xfId="0" applyNumberFormat="1" applyFont="1" applyFill="1" applyBorder="1" applyAlignment="1">
      <alignment vertical="center" shrinkToFit="1"/>
    </xf>
    <xf numFmtId="6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Fill="1" applyBorder="1" applyAlignment="1">
      <alignment vertical="center" shrinkToFit="1"/>
    </xf>
    <xf numFmtId="6" fontId="13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 vertical="center"/>
    </xf>
    <xf numFmtId="6" fontId="1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6" fillId="30" borderId="4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indent="1"/>
    </xf>
    <xf numFmtId="6" fontId="17" fillId="0" borderId="0" xfId="0" applyNumberFormat="1" applyFont="1" applyAlignment="1">
      <alignment horizontal="right"/>
    </xf>
    <xf numFmtId="6" fontId="17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13" fillId="35" borderId="18" xfId="0" applyFont="1" applyFill="1" applyBorder="1" applyAlignment="1">
      <alignment horizontal="right" indent="1"/>
    </xf>
    <xf numFmtId="6" fontId="0" fillId="35" borderId="26" xfId="0" applyNumberFormat="1" applyFill="1" applyBorder="1" applyAlignment="1">
      <alignment/>
    </xf>
    <xf numFmtId="6" fontId="13" fillId="35" borderId="19" xfId="0" applyNumberFormat="1" applyFont="1" applyFill="1" applyBorder="1" applyAlignment="1">
      <alignment/>
    </xf>
    <xf numFmtId="6" fontId="0" fillId="0" borderId="8" xfId="0" applyNumberFormat="1" applyFill="1" applyBorder="1" applyAlignment="1">
      <alignment/>
    </xf>
    <xf numFmtId="6" fontId="0" fillId="0" borderId="23" xfId="0" applyNumberFormat="1" applyFill="1" applyBorder="1" applyAlignment="1">
      <alignment/>
    </xf>
    <xf numFmtId="0" fontId="0" fillId="0" borderId="21" xfId="0" applyFill="1" applyBorder="1" applyAlignment="1">
      <alignment/>
    </xf>
    <xf numFmtId="6" fontId="0" fillId="0" borderId="25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8" fontId="2" fillId="0" borderId="49" xfId="0" applyNumberFormat="1" applyFont="1" applyFill="1" applyBorder="1" applyAlignment="1">
      <alignment horizontal="right" indent="1"/>
    </xf>
    <xf numFmtId="178" fontId="2" fillId="0" borderId="43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178" fontId="2" fillId="30" borderId="0" xfId="0" applyNumberFormat="1" applyFont="1" applyFill="1" applyBorder="1" applyAlignment="1">
      <alignment horizontal="right" indent="1"/>
    </xf>
    <xf numFmtId="0" fontId="0" fillId="35" borderId="0" xfId="0" applyFont="1" applyFill="1" applyAlignment="1">
      <alignment horizontal="left" wrapText="1"/>
    </xf>
    <xf numFmtId="0" fontId="0" fillId="0" borderId="57" xfId="0" applyFont="1" applyBorder="1" applyAlignment="1">
      <alignment horizontal="right"/>
    </xf>
    <xf numFmtId="14" fontId="0" fillId="0" borderId="57" xfId="0" applyNumberFormat="1" applyFont="1" applyBorder="1" applyAlignment="1">
      <alignment horizontal="right"/>
    </xf>
    <xf numFmtId="38" fontId="13" fillId="35" borderId="58" xfId="0" applyNumberFormat="1" applyFont="1" applyFill="1" applyBorder="1" applyAlignment="1">
      <alignment horizontal="center" wrapText="1"/>
    </xf>
    <xf numFmtId="0" fontId="13" fillId="35" borderId="8" xfId="0" applyFont="1" applyFill="1" applyBorder="1" applyAlignment="1">
      <alignment wrapText="1"/>
    </xf>
    <xf numFmtId="0" fontId="13" fillId="35" borderId="57" xfId="0" applyFont="1" applyFill="1" applyBorder="1" applyAlignment="1">
      <alignment horizont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 indent="1"/>
    </xf>
    <xf numFmtId="0" fontId="13" fillId="35" borderId="59" xfId="0" applyFont="1" applyFill="1" applyBorder="1" applyAlignment="1">
      <alignment horizontal="right" indent="1"/>
    </xf>
    <xf numFmtId="0" fontId="13" fillId="35" borderId="4" xfId="0" applyFont="1" applyFill="1" applyBorder="1" applyAlignment="1">
      <alignment horizontal="right" indent="1"/>
    </xf>
    <xf numFmtId="14" fontId="0" fillId="0" borderId="57" xfId="0" applyNumberFormat="1" applyBorder="1" applyAlignment="1">
      <alignment horizontal="right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6" fontId="19" fillId="0" borderId="0" xfId="0" applyNumberFormat="1" applyFont="1" applyBorder="1" applyAlignment="1">
      <alignment/>
    </xf>
    <xf numFmtId="0" fontId="0" fillId="36" borderId="13" xfId="0" applyFont="1" applyFill="1" applyBorder="1" applyAlignment="1">
      <alignment/>
    </xf>
    <xf numFmtId="6" fontId="0" fillId="36" borderId="8" xfId="0" applyNumberFormat="1" applyFill="1" applyBorder="1" applyAlignment="1">
      <alignment/>
    </xf>
    <xf numFmtId="6" fontId="0" fillId="36" borderId="23" xfId="0" applyNumberFormat="1" applyFont="1" applyFill="1" applyBorder="1" applyAlignment="1">
      <alignment/>
    </xf>
    <xf numFmtId="0" fontId="0" fillId="0" borderId="0" xfId="0" applyAlignment="1">
      <alignment/>
    </xf>
    <xf numFmtId="8" fontId="0" fillId="32" borderId="60" xfId="0" applyNumberFormat="1" applyFill="1" applyBorder="1" applyAlignment="1">
      <alignment/>
    </xf>
    <xf numFmtId="8" fontId="0" fillId="32" borderId="60" xfId="0" applyNumberFormat="1" applyFont="1" applyFill="1" applyBorder="1" applyAlignment="1">
      <alignment/>
    </xf>
    <xf numFmtId="8" fontId="13" fillId="32" borderId="61" xfId="0" applyNumberFormat="1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20" fillId="37" borderId="0" xfId="0" applyFont="1" applyFill="1" applyAlignment="1">
      <alignment horizontal="left" indent="1"/>
    </xf>
    <xf numFmtId="0" fontId="20" fillId="0" borderId="0" xfId="0" applyFont="1" applyAlignment="1">
      <alignment horizontal="left" indent="1"/>
    </xf>
    <xf numFmtId="0" fontId="19" fillId="0" borderId="13" xfId="0" applyFont="1" applyBorder="1" applyAlignment="1">
      <alignment/>
    </xf>
    <xf numFmtId="6" fontId="19" fillId="0" borderId="8" xfId="0" applyNumberFormat="1" applyFont="1" applyBorder="1" applyAlignment="1">
      <alignment/>
    </xf>
    <xf numFmtId="6" fontId="19" fillId="0" borderId="25" xfId="0" applyNumberFormat="1" applyFont="1" applyBorder="1" applyAlignment="1">
      <alignment/>
    </xf>
    <xf numFmtId="0" fontId="0" fillId="0" borderId="0" xfId="0" applyFont="1" applyFill="1" applyAlignment="1">
      <alignment horizontal="left" indent="1"/>
    </xf>
    <xf numFmtId="177" fontId="0" fillId="0" borderId="57" xfId="0" applyNumberFormat="1" applyFont="1" applyBorder="1" applyAlignment="1">
      <alignment horizontal="right"/>
    </xf>
    <xf numFmtId="177" fontId="0" fillId="0" borderId="57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8" fontId="13" fillId="32" borderId="13" xfId="0" applyNumberFormat="1" applyFont="1" applyFill="1" applyBorder="1" applyAlignment="1">
      <alignment/>
    </xf>
    <xf numFmtId="0" fontId="0" fillId="38" borderId="8" xfId="0" applyFont="1" applyFill="1" applyBorder="1" applyAlignment="1">
      <alignment horizontal="left" indent="1"/>
    </xf>
    <xf numFmtId="0" fontId="0" fillId="0" borderId="8" xfId="0" applyFont="1" applyFill="1" applyBorder="1" applyAlignment="1">
      <alignment horizontal="left" inden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13" fontId="22" fillId="0" borderId="0" xfId="0" applyNumberFormat="1" applyFont="1" applyBorder="1" applyAlignment="1">
      <alignment horizontal="left"/>
    </xf>
    <xf numFmtId="0" fontId="22" fillId="0" borderId="8" xfId="0" applyFont="1" applyBorder="1" applyAlignment="1">
      <alignment/>
    </xf>
    <xf numFmtId="38" fontId="22" fillId="0" borderId="62" xfId="0" applyNumberFormat="1" applyFont="1" applyFill="1" applyBorder="1" applyAlignment="1">
      <alignment wrapText="1"/>
    </xf>
    <xf numFmtId="6" fontId="22" fillId="0" borderId="8" xfId="0" applyNumberFormat="1" applyFont="1" applyBorder="1" applyAlignment="1">
      <alignment wrapText="1"/>
    </xf>
    <xf numFmtId="6" fontId="22" fillId="0" borderId="8" xfId="0" applyNumberFormat="1" applyFont="1" applyBorder="1" applyAlignment="1">
      <alignment/>
    </xf>
    <xf numFmtId="9" fontId="22" fillId="0" borderId="0" xfId="0" applyNumberFormat="1" applyFont="1" applyAlignment="1">
      <alignment/>
    </xf>
    <xf numFmtId="0" fontId="64" fillId="0" borderId="0" xfId="0" applyFont="1" applyAlignment="1">
      <alignment/>
    </xf>
    <xf numFmtId="38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38" fontId="22" fillId="0" borderId="8" xfId="0" applyNumberFormat="1" applyFont="1" applyBorder="1" applyAlignment="1">
      <alignment/>
    </xf>
    <xf numFmtId="0" fontId="24" fillId="0" borderId="0" xfId="0" applyFont="1" applyAlignment="1">
      <alignment horizontal="left" indent="1"/>
    </xf>
    <xf numFmtId="40" fontId="22" fillId="0" borderId="0" xfId="0" applyNumberFormat="1" applyFont="1" applyAlignment="1">
      <alignment/>
    </xf>
    <xf numFmtId="38" fontId="22" fillId="0" borderId="0" xfId="0" applyNumberFormat="1" applyFont="1" applyAlignment="1">
      <alignment horizontal="center"/>
    </xf>
    <xf numFmtId="0" fontId="22" fillId="0" borderId="63" xfId="0" applyFont="1" applyBorder="1" applyAlignment="1">
      <alignment/>
    </xf>
    <xf numFmtId="6" fontId="22" fillId="0" borderId="63" xfId="0" applyNumberFormat="1" applyFont="1" applyBorder="1" applyAlignment="1">
      <alignment/>
    </xf>
    <xf numFmtId="6" fontId="22" fillId="0" borderId="63" xfId="0" applyNumberFormat="1" applyFont="1" applyBorder="1" applyAlignment="1">
      <alignment wrapText="1"/>
    </xf>
    <xf numFmtId="0" fontId="21" fillId="0" borderId="64" xfId="0" applyFont="1" applyBorder="1" applyAlignment="1">
      <alignment/>
    </xf>
    <xf numFmtId="6" fontId="21" fillId="0" borderId="64" xfId="0" applyNumberFormat="1" applyFont="1" applyBorder="1" applyAlignment="1">
      <alignment/>
    </xf>
    <xf numFmtId="0" fontId="21" fillId="39" borderId="59" xfId="0" applyFont="1" applyFill="1" applyBorder="1" applyAlignment="1">
      <alignment/>
    </xf>
    <xf numFmtId="0" fontId="22" fillId="39" borderId="4" xfId="0" applyFont="1" applyFill="1" applyBorder="1" applyAlignment="1">
      <alignment/>
    </xf>
    <xf numFmtId="38" fontId="22" fillId="39" borderId="4" xfId="0" applyNumberFormat="1" applyFont="1" applyFill="1" applyBorder="1" applyAlignment="1">
      <alignment/>
    </xf>
    <xf numFmtId="38" fontId="22" fillId="39" borderId="57" xfId="0" applyNumberFormat="1" applyFont="1" applyFill="1" applyBorder="1" applyAlignment="1">
      <alignment/>
    </xf>
    <xf numFmtId="0" fontId="21" fillId="0" borderId="8" xfId="0" applyFont="1" applyBorder="1" applyAlignment="1">
      <alignment wrapText="1"/>
    </xf>
    <xf numFmtId="38" fontId="21" fillId="0" borderId="8" xfId="0" applyNumberFormat="1" applyFont="1" applyBorder="1" applyAlignment="1">
      <alignment wrapText="1"/>
    </xf>
    <xf numFmtId="0" fontId="21" fillId="0" borderId="0" xfId="70" applyFont="1" applyBorder="1">
      <alignment/>
      <protection/>
    </xf>
    <xf numFmtId="38" fontId="21" fillId="0" borderId="0" xfId="70" applyNumberFormat="1" applyFont="1" applyBorder="1">
      <alignment/>
      <protection/>
    </xf>
    <xf numFmtId="38" fontId="21" fillId="0" borderId="0" xfId="0" applyNumberFormat="1" applyFont="1" applyBorder="1" applyAlignment="1">
      <alignment/>
    </xf>
    <xf numFmtId="6" fontId="22" fillId="0" borderId="65" xfId="70" applyNumberFormat="1" applyFont="1" applyBorder="1" applyProtection="1">
      <alignment/>
      <protection locked="0"/>
    </xf>
    <xf numFmtId="6" fontId="22" fillId="0" borderId="65" xfId="0" applyNumberFormat="1" applyFont="1" applyBorder="1" applyAlignment="1">
      <alignment/>
    </xf>
    <xf numFmtId="0" fontId="22" fillId="0" borderId="66" xfId="70" applyFont="1" applyBorder="1" applyAlignment="1" applyProtection="1">
      <alignment horizontal="left"/>
      <protection/>
    </xf>
    <xf numFmtId="6" fontId="22" fillId="0" borderId="65" xfId="70" applyNumberFormat="1" applyFont="1" applyFill="1" applyBorder="1" applyProtection="1">
      <alignment/>
      <protection/>
    </xf>
    <xf numFmtId="0" fontId="26" fillId="0" borderId="0" xfId="0" applyFont="1" applyAlignment="1">
      <alignment horizontal="left" indent="1"/>
    </xf>
    <xf numFmtId="6" fontId="22" fillId="0" borderId="67" xfId="70" applyNumberFormat="1" applyFont="1" applyFill="1" applyBorder="1" applyProtection="1">
      <alignment/>
      <protection/>
    </xf>
    <xf numFmtId="6" fontId="22" fillId="0" borderId="67" xfId="0" applyNumberFormat="1" applyFont="1" applyBorder="1" applyAlignment="1">
      <alignment/>
    </xf>
    <xf numFmtId="6" fontId="21" fillId="0" borderId="64" xfId="70" applyNumberFormat="1" applyFont="1" applyFill="1" applyBorder="1" applyProtection="1">
      <alignment/>
      <protection/>
    </xf>
    <xf numFmtId="6" fontId="22" fillId="0" borderId="0" xfId="0" applyNumberFormat="1" applyFont="1" applyAlignment="1">
      <alignment/>
    </xf>
    <xf numFmtId="6" fontId="22" fillId="0" borderId="68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6" fontId="22" fillId="0" borderId="39" xfId="0" applyNumberFormat="1" applyFont="1" applyBorder="1" applyAlignment="1">
      <alignment/>
    </xf>
    <xf numFmtId="6" fontId="22" fillId="40" borderId="67" xfId="70" applyNumberFormat="1" applyFont="1" applyFill="1" applyBorder="1" applyProtection="1">
      <alignment/>
      <protection/>
    </xf>
    <xf numFmtId="6" fontId="22" fillId="0" borderId="16" xfId="0" applyNumberFormat="1" applyFont="1" applyBorder="1" applyAlignment="1">
      <alignment/>
    </xf>
    <xf numFmtId="6" fontId="22" fillId="0" borderId="0" xfId="0" applyNumberFormat="1" applyFont="1" applyBorder="1" applyAlignment="1">
      <alignment/>
    </xf>
    <xf numFmtId="0" fontId="21" fillId="0" borderId="69" xfId="70" applyFont="1" applyBorder="1" applyAlignment="1" applyProtection="1">
      <alignment horizontal="right" indent="1"/>
      <protection/>
    </xf>
    <xf numFmtId="6" fontId="22" fillId="0" borderId="69" xfId="0" applyNumberFormat="1" applyFont="1" applyBorder="1" applyAlignment="1">
      <alignment/>
    </xf>
    <xf numFmtId="6" fontId="22" fillId="39" borderId="8" xfId="70" applyNumberFormat="1" applyFont="1" applyFill="1" applyBorder="1" applyProtection="1">
      <alignment/>
      <protection/>
    </xf>
    <xf numFmtId="0" fontId="21" fillId="41" borderId="70" xfId="70" applyFont="1" applyFill="1" applyBorder="1" applyAlignment="1" applyProtection="1">
      <alignment horizontal="left"/>
      <protection/>
    </xf>
    <xf numFmtId="38" fontId="21" fillId="39" borderId="71" xfId="70" applyNumberFormat="1" applyFont="1" applyFill="1" applyBorder="1" applyProtection="1">
      <alignment/>
      <protection/>
    </xf>
    <xf numFmtId="6" fontId="22" fillId="0" borderId="62" xfId="0" applyNumberFormat="1" applyFont="1" applyBorder="1" applyAlignment="1">
      <alignment/>
    </xf>
    <xf numFmtId="6" fontId="22" fillId="0" borderId="72" xfId="0" applyNumberFormat="1" applyFont="1" applyBorder="1" applyAlignment="1">
      <alignment/>
    </xf>
    <xf numFmtId="6" fontId="22" fillId="0" borderId="72" xfId="0" applyNumberFormat="1" applyFont="1" applyFill="1" applyBorder="1" applyAlignment="1">
      <alignment/>
    </xf>
    <xf numFmtId="6" fontId="21" fillId="0" borderId="73" xfId="0" applyNumberFormat="1" applyFont="1" applyBorder="1" applyAlignment="1">
      <alignment/>
    </xf>
    <xf numFmtId="38" fontId="22" fillId="0" borderId="65" xfId="0" applyNumberFormat="1" applyFont="1" applyBorder="1" applyAlignment="1">
      <alignment/>
    </xf>
    <xf numFmtId="0" fontId="22" fillId="0" borderId="65" xfId="0" applyFont="1" applyBorder="1" applyAlignment="1">
      <alignment/>
    </xf>
    <xf numFmtId="6" fontId="21" fillId="0" borderId="74" xfId="70" applyNumberFormat="1" applyFont="1" applyFill="1" applyBorder="1" applyProtection="1">
      <alignment/>
      <protection/>
    </xf>
    <xf numFmtId="6" fontId="21" fillId="0" borderId="75" xfId="70" applyNumberFormat="1" applyFont="1" applyFill="1" applyBorder="1" applyProtection="1">
      <alignment/>
      <protection/>
    </xf>
    <xf numFmtId="38" fontId="21" fillId="0" borderId="65" xfId="70" applyNumberFormat="1" applyFont="1" applyFill="1" applyBorder="1" applyProtection="1">
      <alignment/>
      <protection/>
    </xf>
    <xf numFmtId="6" fontId="21" fillId="0" borderId="75" xfId="70" applyNumberFormat="1" applyFont="1" applyBorder="1" applyProtection="1">
      <alignment/>
      <protection/>
    </xf>
    <xf numFmtId="6" fontId="21" fillId="39" borderId="8" xfId="70" applyNumberFormat="1" applyFont="1" applyFill="1" applyBorder="1" applyProtection="1">
      <alignment/>
      <protection/>
    </xf>
    <xf numFmtId="10" fontId="22" fillId="0" borderId="65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76" xfId="0" applyFont="1" applyBorder="1" applyAlignment="1">
      <alignment horizontal="left" indent="1"/>
    </xf>
    <xf numFmtId="6" fontId="22" fillId="0" borderId="77" xfId="0" applyNumberFormat="1" applyFont="1" applyBorder="1" applyAlignment="1">
      <alignment/>
    </xf>
    <xf numFmtId="0" fontId="22" fillId="0" borderId="78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13" xfId="0" applyFont="1" applyBorder="1" applyAlignment="1">
      <alignment/>
    </xf>
    <xf numFmtId="167" fontId="22" fillId="0" borderId="23" xfId="0" applyNumberFormat="1" applyFont="1" applyBorder="1" applyAlignment="1">
      <alignment/>
    </xf>
    <xf numFmtId="0" fontId="22" fillId="0" borderId="79" xfId="0" applyFont="1" applyBorder="1" applyAlignment="1">
      <alignment/>
    </xf>
    <xf numFmtId="6" fontId="22" fillId="39" borderId="27" xfId="0" applyNumberFormat="1" applyFont="1" applyFill="1" applyBorder="1" applyAlignment="1">
      <alignment/>
    </xf>
    <xf numFmtId="0" fontId="22" fillId="39" borderId="15" xfId="0" applyFont="1" applyFill="1" applyBorder="1" applyAlignment="1">
      <alignment/>
    </xf>
    <xf numFmtId="0" fontId="21" fillId="39" borderId="80" xfId="0" applyFont="1" applyFill="1" applyBorder="1" applyAlignment="1">
      <alignment/>
    </xf>
    <xf numFmtId="0" fontId="21" fillId="0" borderId="76" xfId="0" applyFont="1" applyBorder="1" applyAlignment="1">
      <alignment horizontal="right" indent="1"/>
    </xf>
    <xf numFmtId="6" fontId="21" fillId="0" borderId="77" xfId="0" applyNumberFormat="1" applyFont="1" applyBorder="1" applyAlignment="1">
      <alignment/>
    </xf>
    <xf numFmtId="0" fontId="22" fillId="0" borderId="81" xfId="0" applyFont="1" applyBorder="1" applyAlignment="1">
      <alignment horizontal="left" indent="1"/>
    </xf>
    <xf numFmtId="0" fontId="22" fillId="0" borderId="82" xfId="0" applyFont="1" applyBorder="1" applyAlignment="1">
      <alignment/>
    </xf>
    <xf numFmtId="0" fontId="22" fillId="0" borderId="21" xfId="0" applyFont="1" applyBorder="1" applyAlignment="1">
      <alignment/>
    </xf>
    <xf numFmtId="9" fontId="22" fillId="0" borderId="25" xfId="0" applyNumberFormat="1" applyFont="1" applyBorder="1" applyAlignment="1">
      <alignment/>
    </xf>
    <xf numFmtId="0" fontId="21" fillId="0" borderId="83" xfId="0" applyFont="1" applyBorder="1" applyAlignment="1">
      <alignment horizontal="right" indent="1"/>
    </xf>
    <xf numFmtId="9" fontId="22" fillId="0" borderId="84" xfId="0" applyNumberFormat="1" applyFont="1" applyBorder="1" applyAlignment="1">
      <alignment/>
    </xf>
    <xf numFmtId="0" fontId="22" fillId="0" borderId="84" xfId="0" applyFont="1" applyBorder="1" applyAlignment="1">
      <alignment/>
    </xf>
    <xf numFmtId="0" fontId="21" fillId="39" borderId="79" xfId="0" applyFont="1" applyFill="1" applyBorder="1" applyAlignment="1">
      <alignment/>
    </xf>
    <xf numFmtId="38" fontId="21" fillId="39" borderId="8" xfId="0" applyNumberFormat="1" applyFont="1" applyFill="1" applyBorder="1" applyAlignment="1">
      <alignment/>
    </xf>
    <xf numFmtId="0" fontId="22" fillId="0" borderId="85" xfId="0" applyFont="1" applyBorder="1" applyAlignment="1">
      <alignment/>
    </xf>
    <xf numFmtId="9" fontId="22" fillId="0" borderId="82" xfId="0" applyNumberFormat="1" applyFont="1" applyBorder="1" applyAlignment="1">
      <alignment/>
    </xf>
    <xf numFmtId="0" fontId="27" fillId="0" borderId="86" xfId="0" applyFont="1" applyBorder="1" applyAlignment="1">
      <alignment horizontal="right" indent="1"/>
    </xf>
    <xf numFmtId="6" fontId="27" fillId="0" borderId="87" xfId="0" applyNumberFormat="1" applyFont="1" applyBorder="1" applyAlignment="1">
      <alignment/>
    </xf>
    <xf numFmtId="0" fontId="27" fillId="0" borderId="64" xfId="0" applyFont="1" applyBorder="1" applyAlignment="1">
      <alignment horizontal="right" indent="1"/>
    </xf>
    <xf numFmtId="0" fontId="27" fillId="0" borderId="64" xfId="0" applyFont="1" applyBorder="1" applyAlignment="1">
      <alignment/>
    </xf>
    <xf numFmtId="6" fontId="27" fillId="0" borderId="64" xfId="0" applyNumberFormat="1" applyFont="1" applyBorder="1" applyAlignment="1">
      <alignment/>
    </xf>
    <xf numFmtId="6" fontId="27" fillId="0" borderId="64" xfId="0" applyNumberFormat="1" applyFont="1" applyBorder="1" applyAlignment="1">
      <alignment wrapText="1"/>
    </xf>
    <xf numFmtId="38" fontId="22" fillId="0" borderId="63" xfId="0" applyNumberFormat="1" applyFont="1" applyBorder="1" applyAlignment="1">
      <alignment/>
    </xf>
    <xf numFmtId="38" fontId="27" fillId="0" borderId="64" xfId="0" applyNumberFormat="1" applyFont="1" applyBorder="1" applyAlignment="1">
      <alignment/>
    </xf>
    <xf numFmtId="38" fontId="22" fillId="0" borderId="0" xfId="0" applyNumberFormat="1" applyFont="1" applyBorder="1" applyAlignment="1">
      <alignment horizontal="left"/>
    </xf>
    <xf numFmtId="10" fontId="22" fillId="0" borderId="0" xfId="0" applyNumberFormat="1" applyFont="1" applyAlignment="1">
      <alignment horizontal="left" indent="1"/>
    </xf>
    <xf numFmtId="6" fontId="21" fillId="0" borderId="0" xfId="0" applyNumberFormat="1" applyFont="1" applyBorder="1" applyAlignment="1">
      <alignment/>
    </xf>
    <xf numFmtId="6" fontId="22" fillId="0" borderId="23" xfId="0" applyNumberFormat="1" applyFont="1" applyBorder="1" applyAlignment="1">
      <alignment/>
    </xf>
    <xf numFmtId="6" fontId="22" fillId="0" borderId="23" xfId="0" applyNumberFormat="1" applyFont="1" applyFill="1" applyBorder="1" applyAlignment="1">
      <alignment/>
    </xf>
    <xf numFmtId="9" fontId="22" fillId="0" borderId="0" xfId="0" applyNumberFormat="1" applyFont="1" applyAlignment="1">
      <alignment horizontal="left" indent="1"/>
    </xf>
    <xf numFmtId="6" fontId="22" fillId="0" borderId="88" xfId="0" applyNumberFormat="1" applyFont="1" applyBorder="1" applyAlignment="1">
      <alignment/>
    </xf>
    <xf numFmtId="167" fontId="22" fillId="0" borderId="0" xfId="77" applyNumberFormat="1" applyFont="1" applyAlignment="1">
      <alignment horizontal="left" indent="1"/>
    </xf>
    <xf numFmtId="0" fontId="21" fillId="0" borderId="18" xfId="0" applyFont="1" applyBorder="1" applyAlignment="1">
      <alignment horizontal="right" indent="1"/>
    </xf>
    <xf numFmtId="6" fontId="21" fillId="0" borderId="26" xfId="0" applyNumberFormat="1" applyFont="1" applyBorder="1" applyAlignment="1">
      <alignment/>
    </xf>
    <xf numFmtId="6" fontId="21" fillId="0" borderId="19" xfId="0" applyNumberFormat="1" applyFont="1" applyBorder="1" applyAlignment="1">
      <alignment/>
    </xf>
    <xf numFmtId="38" fontId="21" fillId="0" borderId="89" xfId="70" applyNumberFormat="1" applyFont="1" applyFill="1" applyBorder="1" applyAlignment="1" applyProtection="1">
      <alignment horizontal="center"/>
      <protection/>
    </xf>
    <xf numFmtId="0" fontId="21" fillId="39" borderId="90" xfId="0" applyFont="1" applyFill="1" applyBorder="1" applyAlignment="1">
      <alignment/>
    </xf>
    <xf numFmtId="38" fontId="21" fillId="39" borderId="3" xfId="0" applyNumberFormat="1" applyFont="1" applyFill="1" applyBorder="1" applyAlignment="1">
      <alignment horizontal="center"/>
    </xf>
    <xf numFmtId="6" fontId="21" fillId="39" borderId="19" xfId="0" applyNumberFormat="1" applyFont="1" applyFill="1" applyBorder="1" applyAlignment="1">
      <alignment horizontal="center"/>
    </xf>
    <xf numFmtId="0" fontId="22" fillId="0" borderId="81" xfId="0" applyFont="1" applyFill="1" applyBorder="1" applyAlignment="1">
      <alignment/>
    </xf>
    <xf numFmtId="6" fontId="22" fillId="0" borderId="68" xfId="0" applyNumberFormat="1" applyFont="1" applyFill="1" applyBorder="1" applyAlignment="1">
      <alignment/>
    </xf>
    <xf numFmtId="6" fontId="22" fillId="0" borderId="82" xfId="0" applyNumberFormat="1" applyFont="1" applyFill="1" applyBorder="1" applyAlignment="1">
      <alignment/>
    </xf>
    <xf numFmtId="6" fontId="27" fillId="0" borderId="85" xfId="0" applyNumberFormat="1" applyFont="1" applyBorder="1" applyAlignment="1">
      <alignment/>
    </xf>
    <xf numFmtId="0" fontId="22" fillId="0" borderId="91" xfId="0" applyFont="1" applyBorder="1" applyAlignment="1">
      <alignment/>
    </xf>
    <xf numFmtId="178" fontId="22" fillId="0" borderId="92" xfId="0" applyNumberFormat="1" applyFont="1" applyBorder="1" applyAlignment="1">
      <alignment/>
    </xf>
    <xf numFmtId="6" fontId="22" fillId="0" borderId="93" xfId="0" applyNumberFormat="1" applyFont="1" applyBorder="1" applyAlignment="1">
      <alignment/>
    </xf>
    <xf numFmtId="0" fontId="22" fillId="0" borderId="35" xfId="0" applyFont="1" applyBorder="1" applyAlignment="1">
      <alignment/>
    </xf>
    <xf numFmtId="43" fontId="22" fillId="0" borderId="0" xfId="44" applyFont="1" applyAlignment="1">
      <alignment/>
    </xf>
    <xf numFmtId="10" fontId="22" fillId="0" borderId="0" xfId="77" applyNumberFormat="1" applyFont="1" applyAlignment="1">
      <alignment/>
    </xf>
    <xf numFmtId="167" fontId="22" fillId="0" borderId="0" xfId="77" applyNumberFormat="1" applyFont="1" applyAlignment="1">
      <alignment/>
    </xf>
    <xf numFmtId="10" fontId="22" fillId="0" borderId="0" xfId="0" applyNumberFormat="1" applyFont="1" applyBorder="1" applyAlignment="1">
      <alignment/>
    </xf>
    <xf numFmtId="38" fontId="22" fillId="0" borderId="3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38" fontId="22" fillId="0" borderId="94" xfId="0" applyNumberFormat="1" applyFont="1" applyBorder="1" applyAlignment="1">
      <alignment horizontal="center"/>
    </xf>
    <xf numFmtId="0" fontId="22" fillId="0" borderId="30" xfId="0" applyFont="1" applyBorder="1" applyAlignment="1">
      <alignment/>
    </xf>
    <xf numFmtId="38" fontId="22" fillId="0" borderId="95" xfId="0" applyNumberFormat="1" applyFont="1" applyBorder="1" applyAlignment="1">
      <alignment/>
    </xf>
    <xf numFmtId="38" fontId="22" fillId="0" borderId="30" xfId="0" applyNumberFormat="1" applyFont="1" applyBorder="1" applyAlignment="1">
      <alignment/>
    </xf>
    <xf numFmtId="38" fontId="22" fillId="0" borderId="62" xfId="0" applyNumberFormat="1" applyFont="1" applyBorder="1" applyAlignment="1">
      <alignment/>
    </xf>
    <xf numFmtId="38" fontId="22" fillId="0" borderId="39" xfId="0" applyNumberFormat="1" applyFont="1" applyBorder="1" applyAlignment="1">
      <alignment/>
    </xf>
    <xf numFmtId="38" fontId="22" fillId="0" borderId="0" xfId="0" applyNumberFormat="1" applyFont="1" applyAlignment="1">
      <alignment horizontal="right"/>
    </xf>
    <xf numFmtId="38" fontId="21" fillId="0" borderId="30" xfId="0" applyNumberFormat="1" applyFont="1" applyBorder="1" applyAlignment="1">
      <alignment/>
    </xf>
    <xf numFmtId="38" fontId="21" fillId="0" borderId="35" xfId="0" applyNumberFormat="1" applyFont="1" applyBorder="1" applyAlignment="1">
      <alignment/>
    </xf>
    <xf numFmtId="0" fontId="22" fillId="42" borderId="95" xfId="0" applyFont="1" applyFill="1" applyBorder="1" applyAlignment="1">
      <alignment horizontal="center"/>
    </xf>
    <xf numFmtId="38" fontId="22" fillId="42" borderId="95" xfId="0" applyNumberFormat="1" applyFont="1" applyFill="1" applyBorder="1" applyAlignment="1">
      <alignment horizontal="center"/>
    </xf>
    <xf numFmtId="38" fontId="22" fillId="42" borderId="30" xfId="0" applyNumberFormat="1" applyFont="1" applyFill="1" applyBorder="1" applyAlignment="1">
      <alignment horizontal="center"/>
    </xf>
    <xf numFmtId="38" fontId="22" fillId="42" borderId="35" xfId="0" applyNumberFormat="1" applyFont="1" applyFill="1" applyBorder="1" applyAlignment="1">
      <alignment horizontal="center"/>
    </xf>
    <xf numFmtId="38" fontId="21" fillId="42" borderId="96" xfId="0" applyNumberFormat="1" applyFont="1" applyFill="1" applyBorder="1" applyAlignment="1">
      <alignment horizontal="center"/>
    </xf>
    <xf numFmtId="38" fontId="21" fillId="42" borderId="29" xfId="0" applyNumberFormat="1" applyFont="1" applyFill="1" applyBorder="1" applyAlignment="1">
      <alignment horizontal="center"/>
    </xf>
    <xf numFmtId="38" fontId="21" fillId="42" borderId="94" xfId="0" applyNumberFormat="1" applyFont="1" applyFill="1" applyBorder="1" applyAlignment="1">
      <alignment horizontal="center"/>
    </xf>
    <xf numFmtId="6" fontId="21" fillId="0" borderId="17" xfId="0" applyNumberFormat="1" applyFont="1" applyBorder="1" applyAlignment="1">
      <alignment/>
    </xf>
    <xf numFmtId="6" fontId="22" fillId="0" borderId="97" xfId="0" applyNumberFormat="1" applyFont="1" applyBorder="1" applyAlignment="1">
      <alignment/>
    </xf>
    <xf numFmtId="6" fontId="21" fillId="0" borderId="98" xfId="0" applyNumberFormat="1" applyFont="1" applyBorder="1" applyAlignment="1">
      <alignment/>
    </xf>
    <xf numFmtId="6" fontId="21" fillId="0" borderId="62" xfId="0" applyNumberFormat="1" applyFont="1" applyBorder="1" applyAlignment="1">
      <alignment/>
    </xf>
    <xf numFmtId="6" fontId="21" fillId="0" borderId="99" xfId="0" applyNumberFormat="1" applyFont="1" applyBorder="1" applyAlignment="1">
      <alignment/>
    </xf>
    <xf numFmtId="6" fontId="21" fillId="0" borderId="65" xfId="0" applyNumberFormat="1" applyFont="1" applyBorder="1" applyAlignment="1">
      <alignment/>
    </xf>
    <xf numFmtId="0" fontId="22" fillId="0" borderId="67" xfId="0" applyFont="1" applyBorder="1" applyAlignment="1">
      <alignment/>
    </xf>
    <xf numFmtId="0" fontId="22" fillId="42" borderId="77" xfId="0" applyFont="1" applyFill="1" applyBorder="1" applyAlignment="1">
      <alignment horizontal="center"/>
    </xf>
    <xf numFmtId="0" fontId="29" fillId="0" borderId="65" xfId="0" applyFont="1" applyFill="1" applyBorder="1" applyAlignment="1">
      <alignment/>
    </xf>
    <xf numFmtId="0" fontId="30" fillId="0" borderId="99" xfId="0" applyFont="1" applyBorder="1" applyAlignment="1">
      <alignment horizontal="right"/>
    </xf>
    <xf numFmtId="0" fontId="29" fillId="0" borderId="65" xfId="0" applyFont="1" applyBorder="1" applyAlignment="1">
      <alignment/>
    </xf>
    <xf numFmtId="0" fontId="29" fillId="0" borderId="67" xfId="0" applyFont="1" applyBorder="1" applyAlignment="1">
      <alignment/>
    </xf>
    <xf numFmtId="0" fontId="30" fillId="0" borderId="65" xfId="0" applyFont="1" applyBorder="1" applyAlignment="1">
      <alignment horizontal="right"/>
    </xf>
    <xf numFmtId="0" fontId="29" fillId="0" borderId="67" xfId="0" applyFont="1" applyFill="1" applyBorder="1" applyAlignment="1">
      <alignment/>
    </xf>
    <xf numFmtId="0" fontId="30" fillId="0" borderId="64" xfId="0" applyFont="1" applyFill="1" applyBorder="1" applyAlignment="1">
      <alignment horizontal="right"/>
    </xf>
    <xf numFmtId="6" fontId="21" fillId="0" borderId="100" xfId="0" applyNumberFormat="1" applyFont="1" applyBorder="1" applyAlignment="1">
      <alignment/>
    </xf>
    <xf numFmtId="6" fontId="21" fillId="0" borderId="101" xfId="0" applyNumberFormat="1" applyFont="1" applyBorder="1" applyAlignment="1">
      <alignment/>
    </xf>
    <xf numFmtId="6" fontId="21" fillId="0" borderId="39" xfId="0" applyNumberFormat="1" applyFont="1" applyBorder="1" applyAlignment="1">
      <alignment/>
    </xf>
    <xf numFmtId="6" fontId="21" fillId="0" borderId="102" xfId="0" applyNumberFormat="1" applyFont="1" applyBorder="1" applyAlignment="1">
      <alignment/>
    </xf>
    <xf numFmtId="38" fontId="21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62" xfId="70" applyFont="1" applyBorder="1" applyAlignment="1" applyProtection="1">
      <alignment horizontal="left"/>
      <protection/>
    </xf>
    <xf numFmtId="0" fontId="25" fillId="0" borderId="103" xfId="70" applyFont="1" applyBorder="1" applyAlignment="1" applyProtection="1">
      <alignment horizontal="right" indent="1"/>
      <protection/>
    </xf>
    <xf numFmtId="0" fontId="22" fillId="0" borderId="62" xfId="70" applyFont="1" applyFill="1" applyBorder="1" applyAlignment="1" applyProtection="1">
      <alignment horizontal="left"/>
      <protection/>
    </xf>
    <xf numFmtId="0" fontId="21" fillId="40" borderId="73" xfId="70" applyFont="1" applyFill="1" applyBorder="1" applyAlignment="1" applyProtection="1">
      <alignment horizontal="right" indent="1"/>
      <protection/>
    </xf>
    <xf numFmtId="0" fontId="22" fillId="0" borderId="72" xfId="70" applyFont="1" applyBorder="1" applyAlignment="1" applyProtection="1">
      <alignment horizontal="left"/>
      <protection/>
    </xf>
    <xf numFmtId="0" fontId="21" fillId="41" borderId="59" xfId="70" applyFont="1" applyFill="1" applyBorder="1" applyAlignment="1" applyProtection="1">
      <alignment horizontal="left"/>
      <protection/>
    </xf>
    <xf numFmtId="0" fontId="22" fillId="0" borderId="104" xfId="70" applyFont="1" applyBorder="1" applyAlignment="1" applyProtection="1">
      <alignment horizontal="left"/>
      <protection/>
    </xf>
    <xf numFmtId="0" fontId="21" fillId="0" borderId="105" xfId="70" applyFont="1" applyBorder="1" applyAlignment="1" applyProtection="1">
      <alignment horizontal="right" indent="1"/>
      <protection/>
    </xf>
    <xf numFmtId="0" fontId="21" fillId="0" borderId="73" xfId="70" applyFont="1" applyBorder="1" applyAlignment="1" applyProtection="1">
      <alignment horizontal="right" indent="1"/>
      <protection/>
    </xf>
    <xf numFmtId="0" fontId="21" fillId="39" borderId="59" xfId="70" applyFont="1" applyFill="1" applyBorder="1" applyAlignment="1" applyProtection="1">
      <alignment horizontal="left"/>
      <protection/>
    </xf>
    <xf numFmtId="6" fontId="21" fillId="0" borderId="106" xfId="0" applyNumberFormat="1" applyFont="1" applyBorder="1" applyAlignment="1">
      <alignment/>
    </xf>
    <xf numFmtId="6" fontId="21" fillId="0" borderId="107" xfId="70" applyNumberFormat="1" applyFont="1" applyFill="1" applyBorder="1" applyProtection="1">
      <alignment/>
      <protection/>
    </xf>
    <xf numFmtId="0" fontId="21" fillId="41" borderId="96" xfId="70" applyFont="1" applyFill="1" applyBorder="1" applyAlignment="1" applyProtection="1">
      <alignment horizontal="left"/>
      <protection/>
    </xf>
    <xf numFmtId="38" fontId="22" fillId="39" borderId="77" xfId="0" applyNumberFormat="1" applyFont="1" applyFill="1" applyBorder="1" applyAlignment="1">
      <alignment/>
    </xf>
    <xf numFmtId="38" fontId="22" fillId="39" borderId="77" xfId="70" applyNumberFormat="1" applyFont="1" applyFill="1" applyBorder="1" applyProtection="1">
      <alignment/>
      <protection/>
    </xf>
    <xf numFmtId="0" fontId="21" fillId="0" borderId="80" xfId="70" applyFont="1" applyBorder="1">
      <alignment/>
      <protection/>
    </xf>
    <xf numFmtId="38" fontId="21" fillId="0" borderId="27" xfId="0" applyNumberFormat="1" applyFont="1" applyBorder="1" applyAlignment="1">
      <alignment horizontal="center" wrapText="1"/>
    </xf>
    <xf numFmtId="38" fontId="21" fillId="0" borderId="15" xfId="70" applyNumberFormat="1" applyFont="1" applyFill="1" applyBorder="1" applyAlignment="1" applyProtection="1">
      <alignment horizontal="center"/>
      <protection/>
    </xf>
    <xf numFmtId="0" fontId="21" fillId="39" borderId="96" xfId="70" applyFont="1" applyFill="1" applyBorder="1">
      <alignment/>
      <protection/>
    </xf>
    <xf numFmtId="6" fontId="22" fillId="39" borderId="77" xfId="70" applyNumberFormat="1" applyFont="1" applyFill="1" applyBorder="1" applyProtection="1">
      <alignment/>
      <protection/>
    </xf>
    <xf numFmtId="6" fontId="22" fillId="39" borderId="77" xfId="0" applyNumberFormat="1" applyFont="1" applyFill="1" applyBorder="1" applyAlignment="1">
      <alignment/>
    </xf>
    <xf numFmtId="6" fontId="22" fillId="0" borderId="65" xfId="0" applyNumberFormat="1" applyFont="1" applyFill="1" applyBorder="1" applyAlignment="1">
      <alignment/>
    </xf>
    <xf numFmtId="6" fontId="22" fillId="0" borderId="67" xfId="0" applyNumberFormat="1" applyFont="1" applyFill="1" applyBorder="1" applyAlignment="1">
      <alignment/>
    </xf>
    <xf numFmtId="6" fontId="21" fillId="0" borderId="94" xfId="70" applyNumberFormat="1" applyFont="1" applyFill="1" applyBorder="1" applyProtection="1">
      <alignment/>
      <protection/>
    </xf>
    <xf numFmtId="6" fontId="22" fillId="0" borderId="4" xfId="0" applyNumberFormat="1" applyFont="1" applyBorder="1" applyAlignment="1">
      <alignment/>
    </xf>
    <xf numFmtId="0" fontId="21" fillId="0" borderId="108" xfId="70" applyFont="1" applyBorder="1">
      <alignment/>
      <protection/>
    </xf>
    <xf numFmtId="0" fontId="21" fillId="0" borderId="96" xfId="70" applyFont="1" applyFill="1" applyBorder="1" applyAlignment="1" applyProtection="1">
      <alignment horizontal="left"/>
      <protection/>
    </xf>
    <xf numFmtId="0" fontId="22" fillId="0" borderId="96" xfId="70" applyFont="1" applyBorder="1" applyAlignment="1" applyProtection="1">
      <alignment horizontal="left"/>
      <protection/>
    </xf>
    <xf numFmtId="0" fontId="21" fillId="0" borderId="62" xfId="70" applyFont="1" applyBorder="1" applyAlignment="1" applyProtection="1">
      <alignment horizontal="left"/>
      <protection/>
    </xf>
    <xf numFmtId="0" fontId="21" fillId="0" borderId="109" xfId="70" applyFont="1" applyBorder="1">
      <alignment/>
      <protection/>
    </xf>
    <xf numFmtId="0" fontId="22" fillId="0" borderId="72" xfId="70" applyFont="1" applyFill="1" applyBorder="1" applyAlignment="1" applyProtection="1">
      <alignment horizontal="left"/>
      <protection/>
    </xf>
    <xf numFmtId="0" fontId="21" fillId="0" borderId="73" xfId="70" applyFont="1" applyFill="1" applyBorder="1" applyAlignment="1" applyProtection="1">
      <alignment horizontal="right" indent="1"/>
      <protection/>
    </xf>
    <xf numFmtId="6" fontId="22" fillId="0" borderId="94" xfId="70" applyNumberFormat="1" applyFont="1" applyFill="1" applyBorder="1" applyProtection="1">
      <alignment/>
      <protection/>
    </xf>
    <xf numFmtId="6" fontId="21" fillId="0" borderId="39" xfId="70" applyNumberFormat="1" applyFont="1" applyFill="1" applyBorder="1" applyProtection="1">
      <alignment/>
      <protection/>
    </xf>
    <xf numFmtId="0" fontId="21" fillId="0" borderId="59" xfId="70" applyFont="1" applyBorder="1" applyAlignment="1" applyProtection="1">
      <alignment horizontal="right" indent="1"/>
      <protection/>
    </xf>
    <xf numFmtId="6" fontId="21" fillId="0" borderId="8" xfId="70" applyNumberFormat="1" applyFont="1" applyFill="1" applyBorder="1" applyProtection="1">
      <alignment/>
      <protection/>
    </xf>
    <xf numFmtId="0" fontId="27" fillId="0" borderId="96" xfId="70" applyFont="1" applyBorder="1" applyAlignment="1">
      <alignment/>
      <protection/>
    </xf>
    <xf numFmtId="6" fontId="27" fillId="0" borderId="77" xfId="70" applyNumberFormat="1" applyFont="1" applyFill="1" applyBorder="1" applyProtection="1">
      <alignment/>
      <protection/>
    </xf>
    <xf numFmtId="0" fontId="21" fillId="0" borderId="59" xfId="70" applyFont="1" applyFill="1" applyBorder="1" applyAlignment="1" applyProtection="1">
      <alignment horizontal="left"/>
      <protection/>
    </xf>
    <xf numFmtId="6" fontId="22" fillId="0" borderId="4" xfId="0" applyNumberFormat="1" applyFont="1" applyFill="1" applyBorder="1" applyAlignment="1">
      <alignment/>
    </xf>
    <xf numFmtId="6" fontId="21" fillId="0" borderId="57" xfId="70" applyNumberFormat="1" applyFont="1" applyFill="1" applyBorder="1" applyProtection="1">
      <alignment/>
      <protection/>
    </xf>
    <xf numFmtId="0" fontId="27" fillId="0" borderId="96" xfId="70" applyFont="1" applyBorder="1">
      <alignment/>
      <protection/>
    </xf>
    <xf numFmtId="0" fontId="27" fillId="0" borderId="59" xfId="70" applyFont="1" applyBorder="1">
      <alignment/>
      <protection/>
    </xf>
    <xf numFmtId="6" fontId="28" fillId="0" borderId="4" xfId="0" applyNumberFormat="1" applyFont="1" applyBorder="1" applyAlignment="1">
      <alignment/>
    </xf>
    <xf numFmtId="6" fontId="27" fillId="0" borderId="8" xfId="70" applyNumberFormat="1" applyFont="1" applyFill="1" applyBorder="1" applyProtection="1">
      <alignment/>
      <protection/>
    </xf>
    <xf numFmtId="0" fontId="28" fillId="0" borderId="59" xfId="70" applyFont="1" applyBorder="1" applyAlignment="1" applyProtection="1">
      <alignment horizontal="left"/>
      <protection/>
    </xf>
    <xf numFmtId="6" fontId="28" fillId="0" borderId="8" xfId="70" applyNumberFormat="1" applyFont="1" applyBorder="1" applyProtection="1">
      <alignment/>
      <protection/>
    </xf>
    <xf numFmtId="6" fontId="22" fillId="39" borderId="8" xfId="0" applyNumberFormat="1" applyFont="1" applyFill="1" applyBorder="1" applyAlignment="1">
      <alignment/>
    </xf>
    <xf numFmtId="38" fontId="21" fillId="0" borderId="110" xfId="0" applyNumberFormat="1" applyFont="1" applyBorder="1" applyAlignment="1">
      <alignment horizontal="center" wrapText="1"/>
    </xf>
    <xf numFmtId="38" fontId="22" fillId="39" borderId="71" xfId="0" applyNumberFormat="1" applyFont="1" applyFill="1" applyBorder="1" applyAlignment="1">
      <alignment/>
    </xf>
    <xf numFmtId="6" fontId="21" fillId="0" borderId="8" xfId="0" applyNumberFormat="1" applyFont="1" applyBorder="1" applyAlignment="1">
      <alignment/>
    </xf>
    <xf numFmtId="6" fontId="27" fillId="0" borderId="8" xfId="0" applyNumberFormat="1" applyFont="1" applyBorder="1" applyAlignment="1">
      <alignment/>
    </xf>
    <xf numFmtId="14" fontId="65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178" fontId="65" fillId="0" borderId="0" xfId="0" applyNumberFormat="1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 horizontal="left" indent="1"/>
    </xf>
    <xf numFmtId="6" fontId="65" fillId="0" borderId="0" xfId="0" applyNumberFormat="1" applyFont="1" applyAlignment="1">
      <alignment/>
    </xf>
    <xf numFmtId="0" fontId="21" fillId="39" borderId="23" xfId="0" applyFont="1" applyFill="1" applyBorder="1" applyAlignment="1">
      <alignment/>
    </xf>
    <xf numFmtId="14" fontId="65" fillId="0" borderId="0" xfId="0" applyNumberFormat="1" applyFont="1" applyAlignment="1">
      <alignment horizontal="left" indent="1"/>
    </xf>
    <xf numFmtId="14" fontId="65" fillId="0" borderId="0" xfId="0" applyNumberFormat="1" applyFont="1" applyFill="1" applyBorder="1" applyAlignment="1">
      <alignment horizontal="left"/>
    </xf>
    <xf numFmtId="14" fontId="65" fillId="0" borderId="0" xfId="0" applyNumberFormat="1" applyFont="1" applyAlignment="1">
      <alignment/>
    </xf>
    <xf numFmtId="6" fontId="22" fillId="43" borderId="8" xfId="0" applyNumberFormat="1" applyFont="1" applyFill="1" applyBorder="1" applyAlignment="1">
      <alignment/>
    </xf>
    <xf numFmtId="9" fontId="22" fillId="43" borderId="0" xfId="0" applyNumberFormat="1" applyFont="1" applyFill="1" applyAlignment="1">
      <alignment/>
    </xf>
    <xf numFmtId="0" fontId="22" fillId="43" borderId="0" xfId="0" applyFont="1" applyFill="1" applyAlignment="1">
      <alignment/>
    </xf>
    <xf numFmtId="14" fontId="6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/>
    </xf>
    <xf numFmtId="9" fontId="65" fillId="0" borderId="0" xfId="0" applyNumberFormat="1" applyFont="1" applyAlignment="1">
      <alignment horizontal="left"/>
    </xf>
    <xf numFmtId="6" fontId="21" fillId="44" borderId="65" xfId="70" applyNumberFormat="1" applyFont="1" applyFill="1" applyBorder="1" applyProtection="1">
      <alignment/>
      <protection/>
    </xf>
    <xf numFmtId="6" fontId="21" fillId="44" borderId="67" xfId="70" applyNumberFormat="1" applyFont="1" applyFill="1" applyBorder="1" applyProtection="1">
      <alignment/>
      <protection/>
    </xf>
    <xf numFmtId="6" fontId="27" fillId="44" borderId="77" xfId="70" applyNumberFormat="1" applyFont="1" applyFill="1" applyBorder="1" applyProtection="1">
      <alignment/>
      <protection/>
    </xf>
    <xf numFmtId="0" fontId="27" fillId="44" borderId="96" xfId="70" applyFont="1" applyFill="1" applyBorder="1">
      <alignment/>
      <protection/>
    </xf>
    <xf numFmtId="6" fontId="27" fillId="44" borderId="8" xfId="0" applyNumberFormat="1" applyFont="1" applyFill="1" applyBorder="1" applyAlignment="1">
      <alignment/>
    </xf>
    <xf numFmtId="0" fontId="27" fillId="44" borderId="96" xfId="70" applyFont="1" applyFill="1" applyBorder="1" applyAlignment="1" applyProtection="1">
      <alignment horizontal="left"/>
      <protection/>
    </xf>
    <xf numFmtId="6" fontId="27" fillId="44" borderId="29" xfId="0" applyNumberFormat="1" applyFont="1" applyFill="1" applyBorder="1" applyAlignment="1">
      <alignment/>
    </xf>
    <xf numFmtId="6" fontId="21" fillId="44" borderId="23" xfId="0" applyNumberFormat="1" applyFont="1" applyFill="1" applyBorder="1" applyAlignment="1">
      <alignment/>
    </xf>
    <xf numFmtId="0" fontId="27" fillId="0" borderId="37" xfId="0" applyFont="1" applyBorder="1" applyAlignment="1">
      <alignment horizontal="right" indent="1"/>
    </xf>
    <xf numFmtId="6" fontId="27" fillId="0" borderId="65" xfId="0" applyNumberFormat="1" applyFont="1" applyBorder="1" applyAlignment="1">
      <alignment/>
    </xf>
    <xf numFmtId="0" fontId="22" fillId="0" borderId="111" xfId="0" applyFont="1" applyBorder="1" applyAlignment="1">
      <alignment/>
    </xf>
    <xf numFmtId="14" fontId="65" fillId="0" borderId="0" xfId="0" applyNumberFormat="1" applyFont="1" applyFill="1" applyAlignment="1">
      <alignment horizontal="left" indent="1"/>
    </xf>
    <xf numFmtId="0" fontId="27" fillId="0" borderId="112" xfId="0" applyFont="1" applyBorder="1" applyAlignment="1">
      <alignment horizontal="right" indent="1"/>
    </xf>
    <xf numFmtId="0" fontId="22" fillId="0" borderId="13" xfId="0" applyFont="1" applyBorder="1" applyAlignment="1">
      <alignment horizontal="right"/>
    </xf>
    <xf numFmtId="0" fontId="27" fillId="0" borderId="20" xfId="0" applyFont="1" applyBorder="1" applyAlignment="1">
      <alignment horizontal="right" indent="1"/>
    </xf>
    <xf numFmtId="6" fontId="27" fillId="0" borderId="22" xfId="0" applyNumberFormat="1" applyFont="1" applyBorder="1" applyAlignment="1">
      <alignment/>
    </xf>
    <xf numFmtId="0" fontId="22" fillId="0" borderId="24" xfId="0" applyFont="1" applyBorder="1" applyAlignment="1">
      <alignment/>
    </xf>
    <xf numFmtId="178" fontId="21" fillId="0" borderId="113" xfId="0" applyNumberFormat="1" applyFont="1" applyBorder="1" applyAlignment="1">
      <alignment/>
    </xf>
    <xf numFmtId="14" fontId="6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43" borderId="65" xfId="0" applyFont="1" applyFill="1" applyBorder="1" applyAlignment="1">
      <alignment/>
    </xf>
    <xf numFmtId="6" fontId="22" fillId="43" borderId="65" xfId="0" applyNumberFormat="1" applyFont="1" applyFill="1" applyBorder="1" applyAlignment="1">
      <alignment wrapText="1"/>
    </xf>
    <xf numFmtId="6" fontId="22" fillId="43" borderId="65" xfId="0" applyNumberFormat="1" applyFont="1" applyFill="1" applyBorder="1" applyAlignment="1">
      <alignment horizontal="right"/>
    </xf>
    <xf numFmtId="0" fontId="22" fillId="43" borderId="8" xfId="0" applyFont="1" applyFill="1" applyBorder="1" applyAlignment="1">
      <alignment/>
    </xf>
    <xf numFmtId="6" fontId="22" fillId="43" borderId="8" xfId="0" applyNumberFormat="1" applyFont="1" applyFill="1" applyBorder="1" applyAlignment="1">
      <alignment wrapText="1"/>
    </xf>
    <xf numFmtId="6" fontId="22" fillId="43" borderId="8" xfId="0" applyNumberFormat="1" applyFont="1" applyFill="1" applyBorder="1" applyAlignment="1">
      <alignment horizontal="right"/>
    </xf>
    <xf numFmtId="0" fontId="0" fillId="0" borderId="37" xfId="0" applyFont="1" applyBorder="1" applyAlignment="1">
      <alignment horizontal="left" wrapText="1" indent="1"/>
    </xf>
    <xf numFmtId="0" fontId="0" fillId="0" borderId="37" xfId="0" applyBorder="1" applyAlignment="1">
      <alignment horizontal="left" wrapText="1" indent="1"/>
    </xf>
    <xf numFmtId="0" fontId="2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6" fillId="3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4" fillId="0" borderId="0" xfId="0" applyFont="1" applyAlignment="1">
      <alignment horizontal="right" indent="1"/>
    </xf>
    <xf numFmtId="0" fontId="16" fillId="30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16" fillId="30" borderId="114" xfId="0" applyFont="1" applyFill="1" applyBorder="1" applyAlignment="1">
      <alignment horizontal="center" vertical="top" wrapText="1"/>
    </xf>
    <xf numFmtId="0" fontId="16" fillId="30" borderId="36" xfId="0" applyFont="1" applyFill="1" applyBorder="1" applyAlignment="1">
      <alignment horizontal="center" vertical="top" wrapText="1"/>
    </xf>
    <xf numFmtId="0" fontId="16" fillId="30" borderId="37" xfId="0" applyFont="1" applyFill="1" applyBorder="1" applyAlignment="1">
      <alignment horizontal="center" vertical="top" wrapText="1"/>
    </xf>
    <xf numFmtId="0" fontId="16" fillId="30" borderId="3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right" indent="1"/>
    </xf>
    <xf numFmtId="0" fontId="13" fillId="0" borderId="0" xfId="7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2" fillId="30" borderId="62" xfId="0" applyFont="1" applyFill="1" applyBorder="1" applyAlignment="1">
      <alignment horizontal="right" indent="1"/>
    </xf>
    <xf numFmtId="0" fontId="0" fillId="30" borderId="39" xfId="0" applyFont="1" applyFill="1" applyBorder="1" applyAlignment="1">
      <alignment horizontal="right" indent="1"/>
    </xf>
    <xf numFmtId="0" fontId="2" fillId="30" borderId="95" xfId="0" applyFont="1" applyFill="1" applyBorder="1" applyAlignment="1">
      <alignment horizontal="right" indent="1"/>
    </xf>
    <xf numFmtId="0" fontId="0" fillId="30" borderId="35" xfId="0" applyFont="1" applyFill="1" applyBorder="1" applyAlignment="1">
      <alignment horizontal="right" indent="1"/>
    </xf>
    <xf numFmtId="0" fontId="2" fillId="30" borderId="96" xfId="0" applyFont="1" applyFill="1" applyBorder="1" applyAlignment="1">
      <alignment horizontal="right" indent="1"/>
    </xf>
    <xf numFmtId="0" fontId="0" fillId="30" borderId="94" xfId="0" applyFont="1" applyFill="1" applyBorder="1" applyAlignment="1">
      <alignment horizontal="right" indent="1"/>
    </xf>
    <xf numFmtId="10" fontId="21" fillId="0" borderId="63" xfId="0" applyNumberFormat="1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illiers [0]_!!!GO" xfId="64"/>
    <cellStyle name="Milliers_!!!GO" xfId="65"/>
    <cellStyle name="Monétaire [0]_!!!GO" xfId="66"/>
    <cellStyle name="Monétaire_!!!GO" xfId="67"/>
    <cellStyle name="Neutral" xfId="68"/>
    <cellStyle name="Normal - Style1" xfId="69"/>
    <cellStyle name="Normal_P.G. budget 2004" xfId="70"/>
    <cellStyle name="Normal_Sources &amp; Uses" xfId="71"/>
    <cellStyle name="Note" xfId="72"/>
    <cellStyle name="Œ…‹æØ‚è [0.00]_!!!GO" xfId="73"/>
    <cellStyle name="Œ…‹æØ‚è_!!!GO" xfId="74"/>
    <cellStyle name="Output" xfId="75"/>
    <cellStyle name="per.style" xfId="76"/>
    <cellStyle name="Percent" xfId="77"/>
    <cellStyle name="Percent [2]" xfId="78"/>
    <cellStyle name="RevList" xfId="79"/>
    <cellStyle name="Subtota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y.eble\AppData\Local\Microsoft\Windows\Temporary%20Internet%20Files\Content.Outlook\04SLZK2Z\Copy%20of%20Sutters%20Mill_Stigen%20Proforma_111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s"/>
      <sheetName val="Operating Budget"/>
      <sheetName val="Construction Cost"/>
      <sheetName val="Sources and Uses of Funds Prede"/>
      <sheetName val="Sources and Uses of Funds Const"/>
      <sheetName val="Sources and Uses of Funds Perm"/>
      <sheetName val="Detailed Const S&amp;U"/>
      <sheetName val="Detailed Perm S&amp;U"/>
      <sheetName val="Cash Flow"/>
      <sheetName val="UnAnticipated Costs"/>
      <sheetName val="Consultants"/>
    </sheetNames>
    <sheetDataSet>
      <sheetData sheetId="0">
        <row r="12">
          <cell r="B12">
            <v>5</v>
          </cell>
        </row>
      </sheetData>
      <sheetData sheetId="4">
        <row r="23">
          <cell r="C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SheetLayoutView="100" zoomScalePageLayoutView="0" workbookViewId="0" topLeftCell="A1">
      <selection activeCell="E34" sqref="E34"/>
    </sheetView>
  </sheetViews>
  <sheetFormatPr defaultColWidth="8.8515625" defaultRowHeight="12.75"/>
  <cols>
    <col min="1" max="1" width="25.140625" style="214" customWidth="1"/>
    <col min="2" max="2" width="12.8515625" style="214" customWidth="1"/>
    <col min="3" max="3" width="19.28125" style="213" customWidth="1"/>
    <col min="4" max="4" width="14.7109375" style="213" customWidth="1"/>
    <col min="5" max="5" width="19.28125" style="213" customWidth="1"/>
    <col min="6" max="6" width="18.140625" style="213" customWidth="1"/>
    <col min="7" max="7" width="2.00390625" style="214" customWidth="1"/>
    <col min="8" max="8" width="10.7109375" style="214" customWidth="1"/>
    <col min="9" max="12" width="8.8515625" style="214" customWidth="1"/>
    <col min="13" max="13" width="11.57421875" style="214" customWidth="1"/>
    <col min="14" max="16384" width="8.8515625" style="214" customWidth="1"/>
  </cols>
  <sheetData>
    <row r="1" spans="1:2" ht="12.75">
      <c r="A1" s="211" t="s">
        <v>445</v>
      </c>
      <c r="B1" s="212"/>
    </row>
    <row r="2" spans="1:2" ht="12.75">
      <c r="A2" s="215">
        <v>40975</v>
      </c>
      <c r="B2" s="212"/>
    </row>
    <row r="3" ht="12.75">
      <c r="A3" s="214" t="s">
        <v>297</v>
      </c>
    </row>
    <row r="4" ht="12.75">
      <c r="A4" s="276" t="s">
        <v>414</v>
      </c>
    </row>
    <row r="5" spans="8:10" ht="12.75">
      <c r="H5" s="427" t="s">
        <v>436</v>
      </c>
      <c r="I5" s="428"/>
      <c r="J5" s="430">
        <v>815</v>
      </c>
    </row>
    <row r="6" spans="1:9" ht="12.75">
      <c r="A6" s="233" t="s">
        <v>409</v>
      </c>
      <c r="B6" s="234"/>
      <c r="C6" s="235"/>
      <c r="D6" s="235"/>
      <c r="E6" s="235"/>
      <c r="F6" s="236"/>
      <c r="H6" s="428"/>
      <c r="I6" s="428"/>
    </row>
    <row r="7" spans="1:9" ht="23.25" customHeight="1">
      <c r="A7" s="216"/>
      <c r="B7" s="237" t="s">
        <v>411</v>
      </c>
      <c r="C7" s="238" t="s">
        <v>440</v>
      </c>
      <c r="D7" s="238" t="s">
        <v>96</v>
      </c>
      <c r="E7" s="238" t="s">
        <v>159</v>
      </c>
      <c r="F7" s="238" t="s">
        <v>425</v>
      </c>
      <c r="G7" s="217"/>
      <c r="H7" s="429"/>
      <c r="I7" s="428"/>
    </row>
    <row r="8" spans="1:9" ht="12.75">
      <c r="A8" s="216" t="s">
        <v>428</v>
      </c>
      <c r="B8" s="216">
        <v>1</v>
      </c>
      <c r="C8" s="218">
        <v>0</v>
      </c>
      <c r="D8" s="218">
        <v>0</v>
      </c>
      <c r="E8" s="218">
        <v>0</v>
      </c>
      <c r="F8" s="219">
        <f>B8*(E8+C8)*12</f>
        <v>0</v>
      </c>
      <c r="G8" s="220"/>
      <c r="H8" s="436">
        <v>40919</v>
      </c>
      <c r="I8" s="428" t="s">
        <v>480</v>
      </c>
    </row>
    <row r="9" spans="1:9" ht="12.75">
      <c r="A9" s="216" t="s">
        <v>437</v>
      </c>
      <c r="B9" s="216">
        <v>1</v>
      </c>
      <c r="C9" s="218">
        <v>0</v>
      </c>
      <c r="D9" s="218">
        <v>0</v>
      </c>
      <c r="E9" s="218">
        <v>0</v>
      </c>
      <c r="F9" s="219">
        <f>B9*(E9+C9)*12</f>
        <v>0</v>
      </c>
      <c r="G9" s="220"/>
      <c r="H9" s="436">
        <v>40837</v>
      </c>
      <c r="I9" s="428" t="s">
        <v>439</v>
      </c>
    </row>
    <row r="10" spans="1:9" ht="12.75">
      <c r="A10" s="228" t="s">
        <v>438</v>
      </c>
      <c r="B10" s="228">
        <v>1</v>
      </c>
      <c r="C10" s="230">
        <v>384</v>
      </c>
      <c r="D10" s="230">
        <v>0</v>
      </c>
      <c r="E10" s="230">
        <v>324</v>
      </c>
      <c r="F10" s="219">
        <f>B10*(E10+C10)*12</f>
        <v>8496</v>
      </c>
      <c r="G10" s="220"/>
      <c r="H10" s="436">
        <v>40889</v>
      </c>
      <c r="I10" s="428" t="s">
        <v>464</v>
      </c>
    </row>
    <row r="11" spans="1:15" s="440" customFormat="1" ht="12.75">
      <c r="A11" s="467" t="s">
        <v>494</v>
      </c>
      <c r="B11" s="467">
        <v>1</v>
      </c>
      <c r="C11" s="468">
        <v>257</v>
      </c>
      <c r="D11" s="469">
        <v>0</v>
      </c>
      <c r="E11" s="468">
        <v>451</v>
      </c>
      <c r="F11" s="438">
        <f>(E11+C11)*12</f>
        <v>8496</v>
      </c>
      <c r="G11" s="439"/>
      <c r="H11" s="436">
        <v>40982</v>
      </c>
      <c r="I11" s="428" t="s">
        <v>493</v>
      </c>
      <c r="J11" s="463"/>
      <c r="K11" s="463"/>
      <c r="L11" s="463"/>
      <c r="M11" s="463"/>
      <c r="N11" s="463"/>
      <c r="O11" s="463"/>
    </row>
    <row r="12" spans="1:15" s="440" customFormat="1" ht="13.5" thickBot="1">
      <c r="A12" s="464" t="s">
        <v>494</v>
      </c>
      <c r="B12" s="464">
        <v>1</v>
      </c>
      <c r="C12" s="465">
        <v>305</v>
      </c>
      <c r="D12" s="466">
        <v>0</v>
      </c>
      <c r="E12" s="465">
        <v>392</v>
      </c>
      <c r="F12" s="438">
        <f>(E12+C12)*12</f>
        <v>8364</v>
      </c>
      <c r="G12" s="439"/>
      <c r="H12" s="436"/>
      <c r="I12" s="428"/>
      <c r="J12" s="463"/>
      <c r="K12" s="463"/>
      <c r="L12" s="463"/>
      <c r="M12" s="463"/>
      <c r="N12" s="463"/>
      <c r="O12" s="463"/>
    </row>
    <row r="13" spans="1:8" ht="15.75" thickTop="1">
      <c r="A13" s="303" t="s">
        <v>153</v>
      </c>
      <c r="B13" s="304">
        <f>SUM(B8:B12)</f>
        <v>5</v>
      </c>
      <c r="C13" s="306"/>
      <c r="D13" s="305"/>
      <c r="E13" s="306"/>
      <c r="F13" s="305">
        <f>SUM(F8:F12)</f>
        <v>25356</v>
      </c>
      <c r="H13" s="437"/>
    </row>
    <row r="14" spans="1:9" ht="12.75">
      <c r="A14" s="212"/>
      <c r="B14" s="212"/>
      <c r="C14" s="222"/>
      <c r="D14" s="222"/>
      <c r="E14" s="222"/>
      <c r="F14" s="222"/>
      <c r="H14" s="428"/>
      <c r="I14" s="428"/>
    </row>
    <row r="15" spans="1:10" ht="12.75">
      <c r="A15" s="223" t="s">
        <v>452</v>
      </c>
      <c r="B15" s="212"/>
      <c r="C15" s="222"/>
      <c r="D15" s="222"/>
      <c r="E15" s="222"/>
      <c r="F15" s="222"/>
      <c r="H15" s="428"/>
      <c r="I15" s="433">
        <f>F13/12</f>
        <v>2113</v>
      </c>
      <c r="J15" s="428" t="s">
        <v>441</v>
      </c>
    </row>
    <row r="16" spans="1:6" ht="12.75">
      <c r="A16" s="223" t="s">
        <v>410</v>
      </c>
      <c r="B16" s="212"/>
      <c r="C16" s="222"/>
      <c r="D16" s="222"/>
      <c r="E16" s="222"/>
      <c r="F16" s="222"/>
    </row>
    <row r="18" spans="1:8" ht="12.75">
      <c r="A18" s="216" t="s">
        <v>24</v>
      </c>
      <c r="B18" s="216"/>
      <c r="C18" s="224"/>
      <c r="D18" s="224"/>
      <c r="E18" s="224"/>
      <c r="F18" s="219">
        <f>-F13*H18</f>
        <v>-1267.8000000000002</v>
      </c>
      <c r="H18" s="220">
        <v>0.05</v>
      </c>
    </row>
    <row r="19" spans="1:9" ht="13.5" thickBot="1">
      <c r="A19" s="228" t="s">
        <v>290</v>
      </c>
      <c r="B19" s="228"/>
      <c r="C19" s="307"/>
      <c r="D19" s="307"/>
      <c r="E19" s="307"/>
      <c r="F19" s="229">
        <v>0</v>
      </c>
      <c r="G19" s="225"/>
      <c r="H19" s="436">
        <v>40875</v>
      </c>
      <c r="I19" s="428" t="s">
        <v>442</v>
      </c>
    </row>
    <row r="20" spans="1:6" ht="15.75" thickTop="1">
      <c r="A20" s="303" t="s">
        <v>97</v>
      </c>
      <c r="B20" s="304"/>
      <c r="C20" s="308"/>
      <c r="D20" s="308"/>
      <c r="E20" s="308"/>
      <c r="F20" s="305">
        <f>F13+F18+F19</f>
        <v>24088.2</v>
      </c>
    </row>
    <row r="22" ht="12.75">
      <c r="A22" s="276" t="s">
        <v>443</v>
      </c>
    </row>
    <row r="23" ht="12.75">
      <c r="A23" s="214" t="s">
        <v>444</v>
      </c>
    </row>
    <row r="24" spans="1:2" ht="12.75">
      <c r="A24" s="441"/>
      <c r="B24" s="442"/>
    </row>
    <row r="25" spans="3:5" ht="12.75">
      <c r="C25" s="226"/>
      <c r="E25" s="226"/>
    </row>
    <row r="28" spans="1:5" ht="12.75">
      <c r="A28" s="214" t="s">
        <v>385</v>
      </c>
      <c r="C28" s="227"/>
      <c r="E28" s="227"/>
    </row>
    <row r="29" ht="12.75">
      <c r="G29" s="213"/>
    </row>
    <row r="39" ht="12.75">
      <c r="F39" s="214"/>
    </row>
    <row r="40" ht="12.75">
      <c r="F40" s="214"/>
    </row>
  </sheetData>
  <sheetProtection/>
  <printOptions/>
  <pageMargins left="0.75" right="0.75" top="1" bottom="1" header="0.5" footer="0.5"/>
  <pageSetup fitToHeight="0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selection activeCell="E19" sqref="E19"/>
    </sheetView>
  </sheetViews>
  <sheetFormatPr defaultColWidth="8.8515625" defaultRowHeight="12.75"/>
  <cols>
    <col min="1" max="1" width="42.7109375" style="0" customWidth="1"/>
    <col min="2" max="2" width="22.7109375" style="0" customWidth="1"/>
    <col min="3" max="3" width="12.7109375" style="0" customWidth="1"/>
    <col min="4" max="5" width="12.7109375" style="1" customWidth="1"/>
    <col min="6" max="6" width="33.7109375" style="0" customWidth="1"/>
  </cols>
  <sheetData>
    <row r="1" spans="1:6" ht="12.75">
      <c r="A1" s="6" t="str">
        <f>'Construction Cost'!A1:A2</f>
        <v>Sutters Mill Court WITH SECTION 8</v>
      </c>
      <c r="B1" s="6"/>
      <c r="C1" s="6"/>
      <c r="F1" s="28"/>
    </row>
    <row r="2" spans="1:6" ht="12.75">
      <c r="A2" s="53">
        <f>'Construction Cost'!A2:A3</f>
        <v>40975</v>
      </c>
      <c r="B2" s="53"/>
      <c r="C2" s="53"/>
      <c r="F2" s="28"/>
    </row>
    <row r="3" ht="12.75">
      <c r="F3" s="28"/>
    </row>
    <row r="4" spans="1:6" ht="12.75">
      <c r="A4" s="5" t="s">
        <v>355</v>
      </c>
      <c r="B4" s="5"/>
      <c r="C4" s="5"/>
      <c r="F4" s="28"/>
    </row>
    <row r="5" spans="1:6" ht="13.5" thickBot="1">
      <c r="A5" s="5"/>
      <c r="B5" s="5"/>
      <c r="C5" s="5"/>
      <c r="F5" s="28"/>
    </row>
    <row r="6" spans="1:7" ht="38.25">
      <c r="A6" s="180" t="s">
        <v>305</v>
      </c>
      <c r="B6" s="181" t="s">
        <v>338</v>
      </c>
      <c r="C6" s="181" t="s">
        <v>317</v>
      </c>
      <c r="D6" s="179" t="s">
        <v>306</v>
      </c>
      <c r="E6" s="181" t="s">
        <v>350</v>
      </c>
      <c r="F6" s="176" t="s">
        <v>304</v>
      </c>
      <c r="G6" s="28"/>
    </row>
    <row r="7" spans="1:7" ht="12.75">
      <c r="A7" s="2" t="s">
        <v>307</v>
      </c>
      <c r="B7" s="197"/>
      <c r="C7" s="177"/>
      <c r="D7" s="194"/>
      <c r="E7" s="205"/>
      <c r="F7" s="28"/>
      <c r="G7" s="28"/>
    </row>
    <row r="8" spans="1:7" ht="12.75">
      <c r="A8" s="182"/>
      <c r="B8" s="197"/>
      <c r="C8" s="177"/>
      <c r="D8" s="194"/>
      <c r="E8" s="205"/>
      <c r="F8" s="28"/>
      <c r="G8" s="28"/>
    </row>
    <row r="9" spans="1:7" ht="12.75">
      <c r="A9" s="2" t="s">
        <v>308</v>
      </c>
      <c r="B9" s="197"/>
      <c r="C9" s="177"/>
      <c r="D9" s="194"/>
      <c r="E9" s="205"/>
      <c r="F9" s="28"/>
      <c r="G9" s="28"/>
    </row>
    <row r="10" spans="1:7" ht="12.75">
      <c r="A10" s="183" t="s">
        <v>351</v>
      </c>
      <c r="B10" s="197"/>
      <c r="C10" s="178">
        <v>40415</v>
      </c>
      <c r="D10" s="194">
        <v>11158</v>
      </c>
      <c r="E10" s="205">
        <v>7904</v>
      </c>
      <c r="F10" s="204" t="s">
        <v>364</v>
      </c>
      <c r="G10" s="28"/>
    </row>
    <row r="11" spans="1:7" ht="12.75">
      <c r="A11" s="183" t="s">
        <v>352</v>
      </c>
      <c r="B11" s="197"/>
      <c r="C11" s="178">
        <v>40446</v>
      </c>
      <c r="D11" s="194">
        <v>6831</v>
      </c>
      <c r="E11" s="205"/>
      <c r="F11" s="204" t="s">
        <v>365</v>
      </c>
      <c r="G11" s="28"/>
    </row>
    <row r="12" spans="1:7" ht="12.75">
      <c r="A12" s="183" t="s">
        <v>353</v>
      </c>
      <c r="B12" s="197"/>
      <c r="C12" s="178">
        <v>40476</v>
      </c>
      <c r="D12" s="194">
        <v>24249</v>
      </c>
      <c r="E12" s="205">
        <v>5940</v>
      </c>
      <c r="F12" s="204" t="s">
        <v>367</v>
      </c>
      <c r="G12" s="28"/>
    </row>
    <row r="13" spans="1:7" ht="12.75">
      <c r="A13" s="183" t="s">
        <v>354</v>
      </c>
      <c r="B13" s="197"/>
      <c r="C13" s="178">
        <v>40476</v>
      </c>
      <c r="D13" s="194">
        <v>25333</v>
      </c>
      <c r="E13" s="205">
        <v>6998</v>
      </c>
      <c r="F13" s="204" t="s">
        <v>367</v>
      </c>
      <c r="G13" s="28"/>
    </row>
    <row r="14" spans="1:7" ht="12.75">
      <c r="A14" s="183" t="s">
        <v>368</v>
      </c>
      <c r="B14" s="197" t="s">
        <v>182</v>
      </c>
      <c r="C14" s="178">
        <v>40477</v>
      </c>
      <c r="D14" s="194">
        <v>615</v>
      </c>
      <c r="E14" s="205">
        <v>615</v>
      </c>
      <c r="F14" s="204" t="s">
        <v>369</v>
      </c>
      <c r="G14" s="28"/>
    </row>
    <row r="15" spans="1:7" ht="12.75">
      <c r="A15" s="209" t="s">
        <v>368</v>
      </c>
      <c r="B15" s="197" t="s">
        <v>182</v>
      </c>
      <c r="C15" s="178" t="s">
        <v>374</v>
      </c>
      <c r="D15" s="194"/>
      <c r="E15" s="205"/>
      <c r="F15" s="204" t="s">
        <v>378</v>
      </c>
      <c r="G15" s="28"/>
    </row>
    <row r="16" spans="1:7" ht="12.75">
      <c r="A16" s="183" t="s">
        <v>319</v>
      </c>
      <c r="B16" s="198" t="s">
        <v>340</v>
      </c>
      <c r="C16" s="178">
        <v>40359</v>
      </c>
      <c r="D16" s="194">
        <v>1680</v>
      </c>
      <c r="E16" s="205">
        <f>D16</f>
        <v>1680</v>
      </c>
      <c r="F16" s="50" t="s">
        <v>324</v>
      </c>
      <c r="G16" s="28"/>
    </row>
    <row r="17" spans="1:7" ht="12.75">
      <c r="A17" s="183" t="s">
        <v>372</v>
      </c>
      <c r="B17" s="198" t="s">
        <v>340</v>
      </c>
      <c r="C17" s="178">
        <v>40483</v>
      </c>
      <c r="D17" s="194">
        <v>6168.32</v>
      </c>
      <c r="E17" s="205">
        <v>6168.32</v>
      </c>
      <c r="F17" s="50" t="s">
        <v>324</v>
      </c>
      <c r="G17" s="28"/>
    </row>
    <row r="18" spans="1:7" ht="12.75">
      <c r="A18" s="183" t="s">
        <v>373</v>
      </c>
      <c r="B18" s="198" t="s">
        <v>340</v>
      </c>
      <c r="C18" s="178">
        <v>40455</v>
      </c>
      <c r="D18" s="194">
        <v>23723.9</v>
      </c>
      <c r="E18" s="205">
        <f>D18</f>
        <v>23723.9</v>
      </c>
      <c r="F18" s="50" t="s">
        <v>324</v>
      </c>
      <c r="G18" s="28"/>
    </row>
    <row r="19" spans="1:7" ht="12.75">
      <c r="A19" s="183" t="s">
        <v>339</v>
      </c>
      <c r="B19" s="198" t="s">
        <v>340</v>
      </c>
      <c r="C19" s="177" t="s">
        <v>374</v>
      </c>
      <c r="D19" s="194">
        <f>80321</f>
        <v>80321</v>
      </c>
      <c r="E19" s="205">
        <f>D19</f>
        <v>80321</v>
      </c>
      <c r="F19" s="50" t="s">
        <v>324</v>
      </c>
      <c r="G19" s="28"/>
    </row>
    <row r="20" spans="1:7" ht="12.75">
      <c r="A20" s="210" t="s">
        <v>376</v>
      </c>
      <c r="B20" s="198" t="s">
        <v>340</v>
      </c>
      <c r="C20" s="177"/>
      <c r="D20" s="194">
        <v>0</v>
      </c>
      <c r="E20" s="205">
        <v>0</v>
      </c>
      <c r="F20" s="50" t="s">
        <v>377</v>
      </c>
      <c r="G20" s="28"/>
    </row>
    <row r="21" spans="1:7" ht="12.75">
      <c r="A21" s="183" t="s">
        <v>323</v>
      </c>
      <c r="B21" s="198" t="s">
        <v>41</v>
      </c>
      <c r="C21" s="177"/>
      <c r="D21" s="194">
        <v>0</v>
      </c>
      <c r="E21" s="205">
        <v>0</v>
      </c>
      <c r="F21" s="50" t="s">
        <v>375</v>
      </c>
      <c r="G21" s="28"/>
    </row>
    <row r="22" spans="1:7" ht="12.75">
      <c r="A22" s="183" t="s">
        <v>325</v>
      </c>
      <c r="B22" s="198" t="s">
        <v>182</v>
      </c>
      <c r="C22" s="186" t="s">
        <v>358</v>
      </c>
      <c r="D22" s="194">
        <f>61.46*9</f>
        <v>553.14</v>
      </c>
      <c r="E22" s="206">
        <v>0</v>
      </c>
      <c r="F22" s="50" t="s">
        <v>359</v>
      </c>
      <c r="G22" s="28"/>
    </row>
    <row r="23" spans="1:7" ht="12.75">
      <c r="A23" s="183" t="s">
        <v>332</v>
      </c>
      <c r="B23" s="198" t="s">
        <v>182</v>
      </c>
      <c r="C23" s="186">
        <v>40393</v>
      </c>
      <c r="D23" s="194">
        <v>450</v>
      </c>
      <c r="E23" s="206"/>
      <c r="F23" s="50" t="s">
        <v>360</v>
      </c>
      <c r="G23" s="28"/>
    </row>
    <row r="24" spans="1:7" ht="12.75">
      <c r="A24" s="183" t="s">
        <v>333</v>
      </c>
      <c r="B24" s="198" t="s">
        <v>182</v>
      </c>
      <c r="C24" s="186">
        <v>40368</v>
      </c>
      <c r="D24" s="194">
        <v>540</v>
      </c>
      <c r="E24" s="206"/>
      <c r="F24" s="50" t="s">
        <v>360</v>
      </c>
      <c r="G24" s="28"/>
    </row>
    <row r="25" spans="1:7" ht="12.75">
      <c r="A25" s="183" t="s">
        <v>382</v>
      </c>
      <c r="B25" s="198" t="s">
        <v>182</v>
      </c>
      <c r="C25" s="186" t="s">
        <v>374</v>
      </c>
      <c r="D25" s="194">
        <v>450</v>
      </c>
      <c r="E25" s="206">
        <v>0</v>
      </c>
      <c r="F25" s="50" t="s">
        <v>383</v>
      </c>
      <c r="G25" s="28"/>
    </row>
    <row r="26" spans="1:7" ht="12.75">
      <c r="A26" s="183"/>
      <c r="B26" s="198"/>
      <c r="C26" s="177"/>
      <c r="D26" s="194"/>
      <c r="E26" s="205"/>
      <c r="F26" s="50"/>
      <c r="G26" s="28"/>
    </row>
    <row r="27" spans="1:7" ht="12.75">
      <c r="A27" s="2" t="s">
        <v>309</v>
      </c>
      <c r="B27" s="197"/>
      <c r="C27" s="177"/>
      <c r="D27" s="194"/>
      <c r="E27" s="205"/>
      <c r="F27" s="50"/>
      <c r="G27" s="28"/>
    </row>
    <row r="28" spans="1:7" ht="12.75">
      <c r="A28" s="182"/>
      <c r="B28" s="197"/>
      <c r="C28" s="177"/>
      <c r="D28" s="194"/>
      <c r="E28" s="205"/>
      <c r="F28" s="50"/>
      <c r="G28" s="28"/>
    </row>
    <row r="29" spans="1:7" ht="12.75">
      <c r="A29" s="2" t="s">
        <v>310</v>
      </c>
      <c r="B29" s="197"/>
      <c r="C29" s="177"/>
      <c r="D29" s="194"/>
      <c r="E29" s="205"/>
      <c r="F29" s="29"/>
      <c r="G29" s="174"/>
    </row>
    <row r="30" spans="1:7" ht="12.75">
      <c r="A30" s="182"/>
      <c r="B30" s="197"/>
      <c r="C30" s="177"/>
      <c r="D30" s="194"/>
      <c r="E30" s="205"/>
      <c r="F30" s="29"/>
      <c r="G30" s="174"/>
    </row>
    <row r="31" spans="1:7" ht="12.75">
      <c r="A31" s="2" t="s">
        <v>311</v>
      </c>
      <c r="B31" s="197"/>
      <c r="C31" s="177"/>
      <c r="D31" s="194"/>
      <c r="E31" s="205"/>
      <c r="F31" s="29"/>
      <c r="G31" s="174"/>
    </row>
    <row r="32" spans="1:7" ht="12.75">
      <c r="A32" s="183" t="s">
        <v>320</v>
      </c>
      <c r="B32" s="198" t="s">
        <v>362</v>
      </c>
      <c r="C32" s="178">
        <v>40394</v>
      </c>
      <c r="D32" s="194">
        <v>177</v>
      </c>
      <c r="E32" s="205">
        <f>177</f>
        <v>177</v>
      </c>
      <c r="F32" s="46" t="s">
        <v>371</v>
      </c>
      <c r="G32" s="174"/>
    </row>
    <row r="33" spans="1:7" ht="12.75">
      <c r="A33" s="183" t="s">
        <v>320</v>
      </c>
      <c r="B33" s="198" t="s">
        <v>362</v>
      </c>
      <c r="C33" s="178">
        <v>40422</v>
      </c>
      <c r="D33" s="194">
        <v>1056.44</v>
      </c>
      <c r="E33" s="205">
        <f>210+162.69+117+123</f>
        <v>612.69</v>
      </c>
      <c r="F33" s="46" t="s">
        <v>371</v>
      </c>
      <c r="G33" s="174"/>
    </row>
    <row r="34" spans="1:7" ht="12.75">
      <c r="A34" s="183" t="s">
        <v>320</v>
      </c>
      <c r="B34" s="198" t="s">
        <v>362</v>
      </c>
      <c r="C34" s="178">
        <v>40456</v>
      </c>
      <c r="D34" s="194">
        <v>1836.03</v>
      </c>
      <c r="E34" s="205">
        <v>0</v>
      </c>
      <c r="F34" s="46" t="s">
        <v>371</v>
      </c>
      <c r="G34" s="174"/>
    </row>
    <row r="35" spans="1:7" ht="12.75">
      <c r="A35" s="183" t="s">
        <v>320</v>
      </c>
      <c r="B35" s="198" t="s">
        <v>362</v>
      </c>
      <c r="C35" s="178">
        <v>40483</v>
      </c>
      <c r="D35" s="194">
        <v>1156.62</v>
      </c>
      <c r="E35" s="205">
        <f>73.5+60+130.5</f>
        <v>264</v>
      </c>
      <c r="F35" s="46" t="s">
        <v>371</v>
      </c>
      <c r="G35" s="174"/>
    </row>
    <row r="36" spans="1:7" ht="12.75">
      <c r="A36" s="183" t="s">
        <v>318</v>
      </c>
      <c r="B36" s="198" t="s">
        <v>362</v>
      </c>
      <c r="C36" s="178">
        <v>40109</v>
      </c>
      <c r="D36" s="194">
        <v>2298</v>
      </c>
      <c r="E36" s="205">
        <f>2298</f>
        <v>2298</v>
      </c>
      <c r="F36" s="46" t="s">
        <v>371</v>
      </c>
      <c r="G36" s="174"/>
    </row>
    <row r="37" spans="1:7" ht="12.75">
      <c r="A37" s="183" t="s">
        <v>380</v>
      </c>
      <c r="B37" s="198" t="s">
        <v>362</v>
      </c>
      <c r="C37" s="178"/>
      <c r="D37" s="194">
        <v>0</v>
      </c>
      <c r="E37" s="205">
        <v>0</v>
      </c>
      <c r="F37" s="46" t="s">
        <v>381</v>
      </c>
      <c r="G37" s="174"/>
    </row>
    <row r="38" spans="1:7" ht="12.75">
      <c r="A38" s="183" t="s">
        <v>321</v>
      </c>
      <c r="B38" s="198" t="s">
        <v>362</v>
      </c>
      <c r="C38" s="178"/>
      <c r="D38" s="194">
        <v>0</v>
      </c>
      <c r="E38" s="205">
        <v>0</v>
      </c>
      <c r="F38" s="46" t="s">
        <v>381</v>
      </c>
      <c r="G38" s="174"/>
    </row>
    <row r="39" spans="1:7" ht="12.75">
      <c r="A39" s="183" t="s">
        <v>322</v>
      </c>
      <c r="B39" s="198" t="s">
        <v>362</v>
      </c>
      <c r="C39" s="178">
        <v>40367</v>
      </c>
      <c r="D39" s="194">
        <v>806.4</v>
      </c>
      <c r="E39" s="205">
        <f>806.4</f>
        <v>806.4</v>
      </c>
      <c r="F39" s="46" t="s">
        <v>363</v>
      </c>
      <c r="G39" s="174"/>
    </row>
    <row r="40" spans="1:7" ht="12.75">
      <c r="A40" s="183" t="s">
        <v>322</v>
      </c>
      <c r="B40" s="198" t="s">
        <v>362</v>
      </c>
      <c r="C40" s="178">
        <v>40374</v>
      </c>
      <c r="D40" s="194">
        <v>258.75</v>
      </c>
      <c r="E40" s="205">
        <v>258.75</v>
      </c>
      <c r="F40" s="46" t="s">
        <v>363</v>
      </c>
      <c r="G40" s="174"/>
    </row>
    <row r="41" spans="1:7" ht="12.75">
      <c r="A41" s="183" t="s">
        <v>322</v>
      </c>
      <c r="B41" s="198" t="s">
        <v>362</v>
      </c>
      <c r="C41" s="178">
        <v>40386</v>
      </c>
      <c r="D41" s="194">
        <v>292.4</v>
      </c>
      <c r="E41" s="205">
        <v>292.4</v>
      </c>
      <c r="F41" s="46" t="s">
        <v>363</v>
      </c>
      <c r="G41" s="174"/>
    </row>
    <row r="42" spans="1:7" ht="12.75">
      <c r="A42" s="183" t="s">
        <v>322</v>
      </c>
      <c r="B42" s="198" t="s">
        <v>362</v>
      </c>
      <c r="C42" s="178">
        <v>40407</v>
      </c>
      <c r="D42" s="194">
        <v>77.5</v>
      </c>
      <c r="E42" s="205">
        <v>77.5</v>
      </c>
      <c r="F42" s="46" t="s">
        <v>363</v>
      </c>
      <c r="G42" s="174"/>
    </row>
    <row r="43" spans="1:7" ht="12.75">
      <c r="A43" s="183" t="s">
        <v>322</v>
      </c>
      <c r="B43" s="198" t="s">
        <v>362</v>
      </c>
      <c r="C43" s="178">
        <v>40449</v>
      </c>
      <c r="D43" s="194">
        <v>271.25</v>
      </c>
      <c r="E43" s="205">
        <v>271.25</v>
      </c>
      <c r="F43" s="46" t="s">
        <v>366</v>
      </c>
      <c r="G43" s="174"/>
    </row>
    <row r="44" spans="1:7" ht="12.75">
      <c r="A44" s="183" t="s">
        <v>322</v>
      </c>
      <c r="B44" s="198" t="s">
        <v>362</v>
      </c>
      <c r="C44" s="178">
        <v>40470</v>
      </c>
      <c r="D44" s="194">
        <v>518.75</v>
      </c>
      <c r="E44" s="205">
        <v>518.75</v>
      </c>
      <c r="F44" s="46" t="s">
        <v>370</v>
      </c>
      <c r="G44" s="174"/>
    </row>
    <row r="45" spans="1:7" ht="12.75">
      <c r="A45" s="210" t="s">
        <v>322</v>
      </c>
      <c r="B45" s="198" t="s">
        <v>362</v>
      </c>
      <c r="C45" s="178" t="s">
        <v>374</v>
      </c>
      <c r="D45" s="194">
        <v>2000</v>
      </c>
      <c r="E45" s="205">
        <v>2000</v>
      </c>
      <c r="F45" s="46" t="s">
        <v>379</v>
      </c>
      <c r="G45" s="174"/>
    </row>
    <row r="46" spans="1:7" ht="12.75">
      <c r="A46" s="183" t="s">
        <v>316</v>
      </c>
      <c r="B46" s="198"/>
      <c r="C46" s="178">
        <v>40385</v>
      </c>
      <c r="D46" s="194">
        <v>2745.1</v>
      </c>
      <c r="E46" s="205">
        <v>0</v>
      </c>
      <c r="F46" s="46" t="s">
        <v>361</v>
      </c>
      <c r="G46" s="174"/>
    </row>
    <row r="47" spans="1:7" ht="12.75">
      <c r="A47" s="183"/>
      <c r="B47" s="198"/>
      <c r="C47" s="178"/>
      <c r="D47" s="194"/>
      <c r="E47" s="205"/>
      <c r="F47" s="29"/>
      <c r="G47" s="174"/>
    </row>
    <row r="48" spans="1:7" ht="12.75">
      <c r="A48" s="2" t="s">
        <v>77</v>
      </c>
      <c r="B48" s="197"/>
      <c r="C48" s="177"/>
      <c r="D48" s="195"/>
      <c r="E48" s="205"/>
      <c r="F48" s="50"/>
      <c r="G48" s="28"/>
    </row>
    <row r="49" spans="1:8" ht="12.75">
      <c r="A49" s="183" t="s">
        <v>77</v>
      </c>
      <c r="B49" s="198" t="s">
        <v>192</v>
      </c>
      <c r="C49" s="178">
        <v>40339</v>
      </c>
      <c r="D49" s="195">
        <v>3582</v>
      </c>
      <c r="E49" s="205">
        <v>0</v>
      </c>
      <c r="F49" s="187"/>
      <c r="G49" s="28"/>
      <c r="H49" t="s">
        <v>297</v>
      </c>
    </row>
    <row r="50" spans="1:7" ht="12.75">
      <c r="A50" s="183" t="s">
        <v>77</v>
      </c>
      <c r="B50" s="198" t="s">
        <v>192</v>
      </c>
      <c r="C50" s="178">
        <v>40372</v>
      </c>
      <c r="D50" s="195">
        <v>2865</v>
      </c>
      <c r="E50" s="205">
        <v>0</v>
      </c>
      <c r="F50" s="187"/>
      <c r="G50" s="28"/>
    </row>
    <row r="51" spans="1:7" ht="12.75">
      <c r="A51" s="183"/>
      <c r="B51" s="198"/>
      <c r="C51" s="177"/>
      <c r="D51" s="195"/>
      <c r="E51" s="205"/>
      <c r="F51" s="50"/>
      <c r="G51" s="28"/>
    </row>
    <row r="52" spans="1:7" ht="12.75">
      <c r="A52" s="2" t="s">
        <v>312</v>
      </c>
      <c r="B52" s="197"/>
      <c r="C52" s="177"/>
      <c r="D52" s="194"/>
      <c r="E52" s="205"/>
      <c r="F52" s="28"/>
      <c r="G52" s="28"/>
    </row>
    <row r="53" spans="1:7" ht="12.75">
      <c r="A53" s="182"/>
      <c r="B53" s="197"/>
      <c r="C53" s="177"/>
      <c r="D53" s="194"/>
      <c r="E53" s="205"/>
      <c r="F53" s="28"/>
      <c r="G53" s="28"/>
    </row>
    <row r="54" spans="1:7" ht="12.75">
      <c r="A54" s="2" t="s">
        <v>313</v>
      </c>
      <c r="B54" s="197"/>
      <c r="C54" s="177"/>
      <c r="D54" s="194"/>
      <c r="E54" s="205"/>
      <c r="F54" s="46"/>
      <c r="G54" s="28"/>
    </row>
    <row r="55" spans="1:7" ht="12.75">
      <c r="A55" s="183"/>
      <c r="B55" s="198"/>
      <c r="C55" s="178"/>
      <c r="D55" s="194"/>
      <c r="E55" s="205"/>
      <c r="F55" s="46"/>
      <c r="G55" s="28"/>
    </row>
    <row r="56" spans="1:7" ht="12.75">
      <c r="A56" s="2" t="s">
        <v>314</v>
      </c>
      <c r="B56" s="197"/>
      <c r="C56" s="177"/>
      <c r="D56" s="194"/>
      <c r="E56" s="205"/>
      <c r="F56" s="29"/>
      <c r="G56" s="50"/>
    </row>
    <row r="57" spans="1:7" ht="12.75">
      <c r="A57" s="183" t="s">
        <v>343</v>
      </c>
      <c r="B57" s="197"/>
      <c r="C57" s="177"/>
      <c r="D57" s="194"/>
      <c r="E57" s="205"/>
      <c r="F57" s="29"/>
      <c r="G57" s="50"/>
    </row>
    <row r="58" spans="1:7" ht="12.75">
      <c r="A58" s="182"/>
      <c r="B58" s="197"/>
      <c r="C58" s="177"/>
      <c r="D58" s="194"/>
      <c r="E58" s="205"/>
      <c r="F58" s="29"/>
      <c r="G58" s="50"/>
    </row>
    <row r="59" spans="1:7" ht="12.75">
      <c r="A59" s="2" t="s">
        <v>315</v>
      </c>
      <c r="B59" s="197"/>
      <c r="C59" s="177"/>
      <c r="D59" s="194"/>
      <c r="E59" s="205"/>
      <c r="F59" s="29"/>
      <c r="G59" s="28"/>
    </row>
    <row r="60" spans="1:7" ht="12.75">
      <c r="A60" s="183" t="s">
        <v>356</v>
      </c>
      <c r="B60" s="198"/>
      <c r="C60" s="178">
        <v>40322</v>
      </c>
      <c r="D60" s="194">
        <v>112</v>
      </c>
      <c r="E60" s="205">
        <v>0</v>
      </c>
      <c r="F60" s="29" t="s">
        <v>357</v>
      </c>
      <c r="G60" s="28"/>
    </row>
    <row r="61" spans="2:7" ht="12.75">
      <c r="B61" s="193"/>
      <c r="C61" s="8"/>
      <c r="D61" s="194"/>
      <c r="E61" s="207"/>
      <c r="F61" s="28"/>
      <c r="G61" s="28"/>
    </row>
    <row r="62" spans="1:7" ht="13.5" thickBot="1">
      <c r="A62" s="184"/>
      <c r="B62" s="185"/>
      <c r="C62" s="185"/>
      <c r="D62" s="196">
        <f>SUM(D7:D59)</f>
        <v>202013.6</v>
      </c>
      <c r="E62" s="208">
        <f>SUM(E7:E60)</f>
        <v>140926.96</v>
      </c>
      <c r="F62" s="28"/>
      <c r="G62" s="28"/>
    </row>
  </sheetData>
  <sheetProtection/>
  <printOptions/>
  <pageMargins left="0.75" right="0.75" top="1" bottom="1" header="0.5" footer="0.5"/>
  <pageSetup fitToHeight="0" fitToWidth="0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15.7109375" style="0" customWidth="1"/>
    <col min="2" max="2" width="27.7109375" style="0" customWidth="1"/>
    <col min="3" max="6" width="15.7109375" style="0" customWidth="1"/>
  </cols>
  <sheetData>
    <row r="1" spans="1:7" ht="12.75">
      <c r="A1" s="5" t="e">
        <f>#REF!</f>
        <v>#REF!</v>
      </c>
      <c r="C1" s="1"/>
      <c r="D1" s="1"/>
      <c r="E1" s="1"/>
      <c r="F1" s="1"/>
      <c r="G1" s="28"/>
    </row>
    <row r="2" spans="1:7" ht="12.75">
      <c r="A2" s="58" t="e">
        <f>#REF!</f>
        <v>#REF!</v>
      </c>
      <c r="C2" s="1"/>
      <c r="D2" s="1"/>
      <c r="E2" s="1"/>
      <c r="F2" s="1"/>
      <c r="G2" s="28"/>
    </row>
    <row r="3" spans="3:7" ht="12.75">
      <c r="C3" s="1"/>
      <c r="D3" s="1"/>
      <c r="E3" s="1"/>
      <c r="F3" s="1"/>
      <c r="G3" s="28"/>
    </row>
    <row r="4" spans="1:7" ht="12.75">
      <c r="A4" s="5" t="s">
        <v>160</v>
      </c>
      <c r="C4" s="1"/>
      <c r="D4" s="1"/>
      <c r="E4" s="1"/>
      <c r="F4" s="1"/>
      <c r="G4" s="28"/>
    </row>
    <row r="5" spans="1:7" ht="12.75">
      <c r="A5" s="3"/>
      <c r="C5" s="1"/>
      <c r="D5" s="1"/>
      <c r="E5" s="1"/>
      <c r="F5" s="1"/>
      <c r="G5" s="28"/>
    </row>
    <row r="6" spans="3:7" ht="25.5">
      <c r="C6" s="24" t="s">
        <v>161</v>
      </c>
      <c r="D6" s="24" t="s">
        <v>41</v>
      </c>
      <c r="E6" s="24" t="s">
        <v>342</v>
      </c>
      <c r="F6" s="24" t="s">
        <v>22</v>
      </c>
      <c r="G6" s="28"/>
    </row>
    <row r="7" spans="3:7" ht="12.75">
      <c r="C7" s="15"/>
      <c r="D7" s="15"/>
      <c r="E7" s="15"/>
      <c r="F7" s="15"/>
      <c r="G7" s="28"/>
    </row>
    <row r="8" spans="1:7" ht="12.75">
      <c r="A8" s="5" t="s">
        <v>112</v>
      </c>
      <c r="B8" t="s">
        <v>109</v>
      </c>
      <c r="C8" s="14">
        <v>0</v>
      </c>
      <c r="D8" s="14">
        <v>0</v>
      </c>
      <c r="E8" s="14"/>
      <c r="F8" s="14">
        <f>SUM(C8:E8)</f>
        <v>0</v>
      </c>
      <c r="G8" s="28"/>
    </row>
    <row r="9" spans="1:7" ht="12.75">
      <c r="A9" s="5" t="s">
        <v>113</v>
      </c>
      <c r="B9" t="s">
        <v>110</v>
      </c>
      <c r="C9" s="14">
        <v>0</v>
      </c>
      <c r="D9" s="14">
        <v>0</v>
      </c>
      <c r="E9" s="14"/>
      <c r="F9" s="14">
        <f>SUM(C9:E9)</f>
        <v>0</v>
      </c>
      <c r="G9" s="28"/>
    </row>
    <row r="10" spans="1:7" ht="13.5" thickBot="1">
      <c r="A10" s="5"/>
      <c r="B10" t="s">
        <v>111</v>
      </c>
      <c r="C10" s="16">
        <v>0</v>
      </c>
      <c r="D10" s="16">
        <v>0</v>
      </c>
      <c r="E10" s="16"/>
      <c r="F10" s="14">
        <f>SUM(C10:E10)</f>
        <v>0</v>
      </c>
      <c r="G10" s="28"/>
    </row>
    <row r="11" spans="1:7" ht="13.5" thickTop="1">
      <c r="A11" s="5"/>
      <c r="B11" s="19" t="s">
        <v>116</v>
      </c>
      <c r="C11" s="17">
        <f>SUM(C8:C10)</f>
        <v>0</v>
      </c>
      <c r="D11" s="17">
        <f>SUM(D8:D10)</f>
        <v>0</v>
      </c>
      <c r="E11" s="17"/>
      <c r="F11" s="17">
        <f>SUM(F8:F10)</f>
        <v>0</v>
      </c>
      <c r="G11" s="28"/>
    </row>
    <row r="12" spans="1:7" ht="12.75">
      <c r="A12" s="5"/>
      <c r="C12" s="14"/>
      <c r="D12" s="14"/>
      <c r="E12" s="14"/>
      <c r="F12" s="14"/>
      <c r="G12" s="28"/>
    </row>
    <row r="13" spans="1:7" ht="12.75">
      <c r="A13" s="5" t="s">
        <v>114</v>
      </c>
      <c r="B13" s="3" t="s">
        <v>117</v>
      </c>
      <c r="C13" s="14">
        <v>0</v>
      </c>
      <c r="D13" s="14">
        <v>0</v>
      </c>
      <c r="E13" s="14">
        <v>0</v>
      </c>
      <c r="F13" s="14">
        <f>SUM(C13:E13)</f>
        <v>0</v>
      </c>
      <c r="G13" s="50" t="s">
        <v>291</v>
      </c>
    </row>
    <row r="14" spans="1:7" ht="12.75">
      <c r="A14" s="5" t="s">
        <v>113</v>
      </c>
      <c r="B14" s="3" t="s">
        <v>118</v>
      </c>
      <c r="C14" s="14">
        <v>0</v>
      </c>
      <c r="D14" s="14">
        <v>0</v>
      </c>
      <c r="E14" s="14"/>
      <c r="F14" s="14">
        <f>SUM(C14:E14)</f>
        <v>0</v>
      </c>
      <c r="G14" s="28"/>
    </row>
    <row r="15" spans="1:7" ht="12.75">
      <c r="A15" s="3"/>
      <c r="B15" s="3" t="s">
        <v>119</v>
      </c>
      <c r="C15" s="14">
        <v>0</v>
      </c>
      <c r="D15" s="14">
        <v>0</v>
      </c>
      <c r="E15" s="14">
        <v>0</v>
      </c>
      <c r="F15" s="14">
        <f>SUM(C15:E15)</f>
        <v>0</v>
      </c>
      <c r="G15" s="50" t="s">
        <v>162</v>
      </c>
    </row>
    <row r="16" spans="1:7" ht="12.75">
      <c r="A16" s="3"/>
      <c r="B16" s="3" t="s">
        <v>145</v>
      </c>
      <c r="C16" s="20">
        <v>0</v>
      </c>
      <c r="D16" s="20">
        <v>0</v>
      </c>
      <c r="E16" s="20"/>
      <c r="F16" s="14">
        <f>SUM(C16:E16)</f>
        <v>0</v>
      </c>
      <c r="G16" s="50" t="s">
        <v>287</v>
      </c>
    </row>
    <row r="17" spans="1:7" ht="12.75">
      <c r="A17" s="3"/>
      <c r="B17" s="3" t="s">
        <v>163</v>
      </c>
      <c r="C17" s="20">
        <v>0</v>
      </c>
      <c r="D17" s="20">
        <v>0</v>
      </c>
      <c r="E17" s="20"/>
      <c r="F17" s="14">
        <f>SUM(C17:E17)</f>
        <v>0</v>
      </c>
      <c r="G17" s="28"/>
    </row>
    <row r="18" spans="1:7" ht="12.75">
      <c r="A18" s="3"/>
      <c r="B18" s="3" t="s">
        <v>329</v>
      </c>
      <c r="C18" s="20"/>
      <c r="D18" s="20"/>
      <c r="E18" s="20"/>
      <c r="F18" s="20"/>
      <c r="G18" s="28"/>
    </row>
    <row r="19" spans="1:7" ht="12.75">
      <c r="A19" s="3"/>
      <c r="B19" s="3" t="s">
        <v>173</v>
      </c>
      <c r="C19" s="20">
        <v>0</v>
      </c>
      <c r="D19" s="20">
        <v>0</v>
      </c>
      <c r="E19" s="20"/>
      <c r="F19" s="14">
        <f aca="true" t="shared" si="0" ref="F19:F26">SUM(C19:E19)</f>
        <v>0</v>
      </c>
      <c r="G19" s="28"/>
    </row>
    <row r="20" spans="1:7" ht="12.75">
      <c r="A20" s="3"/>
      <c r="B20" s="3" t="s">
        <v>176</v>
      </c>
      <c r="C20" s="20">
        <v>0</v>
      </c>
      <c r="D20" s="20">
        <v>0</v>
      </c>
      <c r="E20" s="20"/>
      <c r="F20" s="14">
        <f t="shared" si="0"/>
        <v>0</v>
      </c>
      <c r="G20" s="28"/>
    </row>
    <row r="21" spans="1:7" ht="12.75">
      <c r="A21" s="3"/>
      <c r="B21" s="3" t="s">
        <v>293</v>
      </c>
      <c r="C21" s="20">
        <v>0</v>
      </c>
      <c r="D21" s="20">
        <v>0</v>
      </c>
      <c r="E21" s="20"/>
      <c r="F21" s="14">
        <f t="shared" si="0"/>
        <v>0</v>
      </c>
      <c r="G21" s="28"/>
    </row>
    <row r="22" spans="1:7" ht="12.75">
      <c r="A22" s="3"/>
      <c r="B22" s="3" t="s">
        <v>175</v>
      </c>
      <c r="C22" s="20">
        <v>0</v>
      </c>
      <c r="D22" s="20">
        <v>0</v>
      </c>
      <c r="E22" s="20"/>
      <c r="F22" s="14">
        <f t="shared" si="0"/>
        <v>0</v>
      </c>
      <c r="G22" s="28"/>
    </row>
    <row r="23" spans="1:7" ht="12.75">
      <c r="A23" s="3"/>
      <c r="B23" s="3" t="s">
        <v>177</v>
      </c>
      <c r="C23" s="20">
        <v>0</v>
      </c>
      <c r="D23" s="20">
        <v>0</v>
      </c>
      <c r="E23" s="20"/>
      <c r="F23" s="14">
        <f t="shared" si="0"/>
        <v>0</v>
      </c>
      <c r="G23" s="28"/>
    </row>
    <row r="24" spans="1:7" ht="12.75">
      <c r="A24" s="3"/>
      <c r="B24" s="3" t="s">
        <v>331</v>
      </c>
      <c r="C24" s="20">
        <v>0</v>
      </c>
      <c r="D24" s="20">
        <v>0</v>
      </c>
      <c r="E24" s="20"/>
      <c r="F24" s="14">
        <f t="shared" si="0"/>
        <v>0</v>
      </c>
      <c r="G24" s="28"/>
    </row>
    <row r="25" spans="1:7" ht="12.75">
      <c r="A25" s="3"/>
      <c r="B25" s="3" t="s">
        <v>330</v>
      </c>
      <c r="C25" s="20">
        <v>0</v>
      </c>
      <c r="D25" s="189">
        <v>0</v>
      </c>
      <c r="E25" s="189"/>
      <c r="F25" s="14">
        <f t="shared" si="0"/>
        <v>0</v>
      </c>
      <c r="G25" s="28"/>
    </row>
    <row r="26" spans="1:7" ht="13.5" thickBot="1">
      <c r="A26" s="3"/>
      <c r="B26" s="133" t="s">
        <v>146</v>
      </c>
      <c r="C26" s="20">
        <v>0</v>
      </c>
      <c r="D26" s="52">
        <v>0</v>
      </c>
      <c r="E26" s="52"/>
      <c r="F26" s="14">
        <f t="shared" si="0"/>
        <v>0</v>
      </c>
      <c r="G26" s="28"/>
    </row>
    <row r="27" spans="1:7" ht="13.5" thickTop="1">
      <c r="A27" s="3"/>
      <c r="B27" s="134" t="s">
        <v>116</v>
      </c>
      <c r="C27" s="17">
        <f>SUM(C13:C26)</f>
        <v>0</v>
      </c>
      <c r="D27" s="17">
        <f>SUM(D13:D26)</f>
        <v>0</v>
      </c>
      <c r="E27" s="17"/>
      <c r="F27" s="17">
        <f>D27+C27</f>
        <v>0</v>
      </c>
      <c r="G27" s="28"/>
    </row>
    <row r="28" spans="1:7" ht="13.5" thickBot="1">
      <c r="A28" s="3"/>
      <c r="B28" s="3"/>
      <c r="C28" s="20"/>
      <c r="D28" s="20"/>
      <c r="E28" s="20"/>
      <c r="F28" s="20"/>
      <c r="G28" s="28"/>
    </row>
    <row r="29" spans="2:7" ht="13.5" thickBot="1">
      <c r="B29" s="21" t="s">
        <v>115</v>
      </c>
      <c r="C29" s="22">
        <f>C27+C11</f>
        <v>0</v>
      </c>
      <c r="D29" s="22">
        <f>D27+D11</f>
        <v>0</v>
      </c>
      <c r="E29" s="22"/>
      <c r="F29" s="23">
        <f>F27+F11</f>
        <v>0</v>
      </c>
      <c r="G29" s="28"/>
    </row>
    <row r="30" ht="12.75">
      <c r="G30" s="28"/>
    </row>
    <row r="31" spans="3:7" ht="12.75">
      <c r="C31" s="24" t="s">
        <v>161</v>
      </c>
      <c r="D31" s="24" t="s">
        <v>41</v>
      </c>
      <c r="E31" s="24"/>
      <c r="F31" s="24" t="s">
        <v>22</v>
      </c>
      <c r="G31" s="28"/>
    </row>
    <row r="32" spans="1:6" ht="12.75">
      <c r="A32" s="5" t="s">
        <v>164</v>
      </c>
      <c r="B32" s="59" t="s">
        <v>165</v>
      </c>
      <c r="C32" s="60">
        <v>0</v>
      </c>
      <c r="D32" s="60">
        <v>0</v>
      </c>
      <c r="E32" s="60"/>
      <c r="F32" s="60">
        <f>SUM(C32:D32)</f>
        <v>0</v>
      </c>
    </row>
    <row r="33" spans="2:6" ht="12.75">
      <c r="B33" s="61" t="s">
        <v>166</v>
      </c>
      <c r="C33" s="60">
        <v>0</v>
      </c>
      <c r="D33" s="60">
        <v>0</v>
      </c>
      <c r="E33" s="60"/>
      <c r="F33" s="60">
        <f>SUM(C33:D33)</f>
        <v>0</v>
      </c>
    </row>
    <row r="34" spans="2:6" ht="12.75">
      <c r="B34" s="61" t="s">
        <v>167</v>
      </c>
      <c r="C34" s="60">
        <v>0</v>
      </c>
      <c r="D34" s="60">
        <v>0</v>
      </c>
      <c r="E34" s="60"/>
      <c r="F34" s="60">
        <f>SUM(C34:D34)</f>
        <v>0</v>
      </c>
    </row>
    <row r="35" spans="2:6" ht="13.5" thickBot="1">
      <c r="B35" s="61" t="s">
        <v>168</v>
      </c>
      <c r="C35" s="62">
        <v>0</v>
      </c>
      <c r="D35" s="62">
        <v>0</v>
      </c>
      <c r="E35" s="62"/>
      <c r="F35" s="62">
        <f>SUM(C35:D35)</f>
        <v>0</v>
      </c>
    </row>
    <row r="36" spans="2:6" ht="13.5" thickTop="1">
      <c r="B36" s="63"/>
      <c r="C36" s="64">
        <f>SUM(C32:C35)</f>
        <v>0</v>
      </c>
      <c r="D36" s="64">
        <f>SUM(D32:D35)</f>
        <v>0</v>
      </c>
      <c r="E36" s="64"/>
      <c r="F36" s="64">
        <f>SUM(F32:F35)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view="pageBreakPreview" zoomScaleSheetLayoutView="100" zoomScalePageLayoutView="0" workbookViewId="0" topLeftCell="A46">
      <selection activeCell="C43" sqref="C43"/>
    </sheetView>
  </sheetViews>
  <sheetFormatPr defaultColWidth="8.8515625" defaultRowHeight="12.75"/>
  <cols>
    <col min="1" max="1" width="39.140625" style="214" customWidth="1"/>
    <col min="2" max="2" width="13.7109375" style="222" customWidth="1"/>
    <col min="3" max="3" width="13.7109375" style="268" customWidth="1"/>
    <col min="4" max="4" width="3.140625" style="214" customWidth="1"/>
    <col min="5" max="5" width="13.28125" style="429" customWidth="1"/>
    <col min="6" max="16384" width="8.8515625" style="214" customWidth="1"/>
  </cols>
  <sheetData>
    <row r="1" spans="1:3" ht="12.75">
      <c r="A1" s="211" t="str">
        <f>'Rents with Section 8'!A1</f>
        <v>Sutters Mill Court WITH SECTION 8</v>
      </c>
      <c r="C1" s="343"/>
    </row>
    <row r="2" spans="1:3" ht="12.75">
      <c r="A2" s="215">
        <f>'Rents with Section 8'!A2</f>
        <v>40975</v>
      </c>
      <c r="C2" s="343"/>
    </row>
    <row r="3" ht="12.75">
      <c r="C3" s="343"/>
    </row>
    <row r="4" spans="1:3" ht="12.75">
      <c r="A4" s="211" t="s">
        <v>415</v>
      </c>
      <c r="B4" s="240">
        <f>'Rents with Section 8'!B13</f>
        <v>5</v>
      </c>
      <c r="C4" s="373" t="s">
        <v>94</v>
      </c>
    </row>
    <row r="5" spans="1:3" ht="13.5" thickBot="1">
      <c r="A5" s="239"/>
      <c r="B5" s="212"/>
      <c r="C5" s="374"/>
    </row>
    <row r="6" spans="1:3" ht="25.5">
      <c r="A6" s="390" t="s">
        <v>412</v>
      </c>
      <c r="B6" s="391" t="s">
        <v>389</v>
      </c>
      <c r="C6" s="392" t="s">
        <v>93</v>
      </c>
    </row>
    <row r="7" spans="1:3" ht="12.75">
      <c r="A7" s="387" t="s">
        <v>65</v>
      </c>
      <c r="B7" s="388"/>
      <c r="C7" s="389"/>
    </row>
    <row r="8" spans="1:3" ht="12.75">
      <c r="A8" s="375" t="s">
        <v>66</v>
      </c>
      <c r="B8" s="243">
        <f aca="true" t="shared" si="0" ref="B8:B13">C8/$B$4</f>
        <v>5071.2</v>
      </c>
      <c r="C8" s="242">
        <f>'Rents with Section 8'!F13</f>
        <v>25356</v>
      </c>
    </row>
    <row r="9" spans="1:5" ht="12.75">
      <c r="A9" s="244" t="s">
        <v>67</v>
      </c>
      <c r="B9" s="243">
        <f t="shared" si="0"/>
        <v>-253.56000000000003</v>
      </c>
      <c r="C9" s="245">
        <f>'Rents with Section 8'!F18</f>
        <v>-1267.8000000000002</v>
      </c>
      <c r="E9" s="443">
        <v>0.05</v>
      </c>
    </row>
    <row r="10" spans="1:4" ht="12.75">
      <c r="A10" s="244" t="s">
        <v>69</v>
      </c>
      <c r="B10" s="243">
        <f t="shared" si="0"/>
        <v>0</v>
      </c>
      <c r="C10" s="245">
        <f>'Rents with Section 8'!F19</f>
        <v>0</v>
      </c>
      <c r="D10" s="246"/>
    </row>
    <row r="11" spans="1:3" ht="12.75">
      <c r="A11" s="244" t="s">
        <v>68</v>
      </c>
      <c r="B11" s="243">
        <f t="shared" si="0"/>
        <v>0</v>
      </c>
      <c r="C11" s="245">
        <v>0</v>
      </c>
    </row>
    <row r="12" spans="1:3" ht="13.5" thickBot="1">
      <c r="A12" s="244" t="s">
        <v>70</v>
      </c>
      <c r="B12" s="248">
        <f t="shared" si="0"/>
        <v>0</v>
      </c>
      <c r="C12" s="247">
        <v>0</v>
      </c>
    </row>
    <row r="13" spans="1:3" ht="16.5" customHeight="1" thickTop="1">
      <c r="A13" s="376" t="s">
        <v>71</v>
      </c>
      <c r="B13" s="385">
        <f t="shared" si="0"/>
        <v>4817.64</v>
      </c>
      <c r="C13" s="270">
        <f>SUM(C7:C12)</f>
        <v>24088.2</v>
      </c>
    </row>
    <row r="14" spans="1:3" ht="16.5" customHeight="1" thickBot="1">
      <c r="A14" s="259"/>
      <c r="B14" s="260"/>
      <c r="C14" s="386"/>
    </row>
    <row r="15" spans="1:3" ht="25.5">
      <c r="A15" s="400" t="s">
        <v>413</v>
      </c>
      <c r="B15" s="391" t="s">
        <v>389</v>
      </c>
      <c r="C15" s="392" t="s">
        <v>93</v>
      </c>
    </row>
    <row r="16" spans="1:3" ht="12.75">
      <c r="A16" s="393" t="s">
        <v>72</v>
      </c>
      <c r="B16" s="395"/>
      <c r="C16" s="394"/>
    </row>
    <row r="17" spans="1:6" ht="12.75">
      <c r="A17" s="377" t="s">
        <v>73</v>
      </c>
      <c r="B17" s="396">
        <v>0</v>
      </c>
      <c r="C17" s="444">
        <f>B17*B4</f>
        <v>0</v>
      </c>
      <c r="E17" s="427">
        <v>40875</v>
      </c>
      <c r="F17" s="428" t="s">
        <v>448</v>
      </c>
    </row>
    <row r="18" spans="1:6" ht="13.5" thickBot="1">
      <c r="A18" s="377" t="s">
        <v>430</v>
      </c>
      <c r="B18" s="397">
        <f>C18/$B$4</f>
        <v>21</v>
      </c>
      <c r="C18" s="444">
        <v>105</v>
      </c>
      <c r="E18" s="427">
        <v>40875</v>
      </c>
      <c r="F18" s="428" t="s">
        <v>446</v>
      </c>
    </row>
    <row r="19" spans="1:3" ht="13.5" thickTop="1">
      <c r="A19" s="378" t="s">
        <v>147</v>
      </c>
      <c r="B19" s="232">
        <f>C19/$B$4</f>
        <v>21</v>
      </c>
      <c r="C19" s="249">
        <f>SUM(C17+C18)</f>
        <v>105</v>
      </c>
    </row>
    <row r="20" spans="1:3" ht="12.75">
      <c r="A20" s="401"/>
      <c r="B20" s="399"/>
      <c r="C20" s="398"/>
    </row>
    <row r="21" spans="1:3" ht="12.75">
      <c r="A21" s="384" t="s">
        <v>390</v>
      </c>
      <c r="B21" s="422"/>
      <c r="C21" s="261"/>
    </row>
    <row r="22" spans="1:8" ht="13.5" customHeight="1">
      <c r="A22" s="375" t="s">
        <v>18</v>
      </c>
      <c r="B22" s="243">
        <f aca="true" t="shared" si="1" ref="B22:B27">C22/$B$4</f>
        <v>0</v>
      </c>
      <c r="C22" s="245">
        <v>0</v>
      </c>
      <c r="F22" s="221"/>
      <c r="G22" s="221"/>
      <c r="H22" s="221"/>
    </row>
    <row r="23" spans="1:8" ht="12.75">
      <c r="A23" s="375" t="s">
        <v>89</v>
      </c>
      <c r="B23" s="243">
        <f t="shared" si="1"/>
        <v>0</v>
      </c>
      <c r="C23" s="245">
        <v>0</v>
      </c>
      <c r="D23" s="221"/>
      <c r="E23" s="427">
        <v>40875</v>
      </c>
      <c r="F23" s="428" t="s">
        <v>447</v>
      </c>
      <c r="G23" s="221"/>
      <c r="H23" s="221"/>
    </row>
    <row r="24" spans="1:8" ht="12.75">
      <c r="A24" s="375" t="s">
        <v>74</v>
      </c>
      <c r="B24" s="243">
        <f t="shared" si="1"/>
        <v>0</v>
      </c>
      <c r="C24" s="245">
        <v>0</v>
      </c>
      <c r="D24" s="221"/>
      <c r="E24" s="427">
        <v>40875</v>
      </c>
      <c r="F24" s="428" t="s">
        <v>447</v>
      </c>
      <c r="G24" s="221"/>
      <c r="H24" s="221"/>
    </row>
    <row r="25" spans="1:8" ht="12.75">
      <c r="A25" s="375" t="s">
        <v>88</v>
      </c>
      <c r="B25" s="243">
        <f t="shared" si="1"/>
        <v>0</v>
      </c>
      <c r="C25" s="245">
        <v>0</v>
      </c>
      <c r="D25" s="221"/>
      <c r="E25" s="427">
        <v>40875</v>
      </c>
      <c r="F25" s="428" t="s">
        <v>447</v>
      </c>
      <c r="G25" s="221"/>
      <c r="H25" s="221"/>
    </row>
    <row r="26" spans="1:6" ht="13.5" thickBot="1">
      <c r="A26" s="379" t="s">
        <v>44</v>
      </c>
      <c r="B26" s="248">
        <f t="shared" si="1"/>
        <v>0</v>
      </c>
      <c r="C26" s="245">
        <v>0</v>
      </c>
      <c r="E26" s="427">
        <v>40875</v>
      </c>
      <c r="F26" s="428" t="s">
        <v>447</v>
      </c>
    </row>
    <row r="27" spans="1:3" ht="13.5" thickTop="1">
      <c r="A27" s="378" t="s">
        <v>45</v>
      </c>
      <c r="B27" s="232">
        <f t="shared" si="1"/>
        <v>0</v>
      </c>
      <c r="C27" s="249">
        <f>SUM(C22:C26)</f>
        <v>0</v>
      </c>
    </row>
    <row r="28" spans="1:3" ht="12.75">
      <c r="A28" s="402"/>
      <c r="B28" s="399"/>
      <c r="C28" s="407"/>
    </row>
    <row r="29" spans="1:3" ht="12.75">
      <c r="A29" s="380" t="s">
        <v>148</v>
      </c>
      <c r="B29" s="422"/>
      <c r="C29" s="261"/>
    </row>
    <row r="30" spans="1:6" ht="12.75">
      <c r="A30" s="375" t="s">
        <v>46</v>
      </c>
      <c r="B30" s="243">
        <f aca="true" t="shared" si="2" ref="B30:B40">C30/$B$4</f>
        <v>25</v>
      </c>
      <c r="C30" s="245">
        <v>125</v>
      </c>
      <c r="E30" s="427">
        <v>40875</v>
      </c>
      <c r="F30" s="428" t="s">
        <v>449</v>
      </c>
    </row>
    <row r="31" spans="1:6" ht="12.75">
      <c r="A31" s="375" t="s">
        <v>47</v>
      </c>
      <c r="B31" s="243">
        <f t="shared" si="2"/>
        <v>1000</v>
      </c>
      <c r="C31" s="444">
        <v>5000</v>
      </c>
      <c r="E31" s="427">
        <v>40875</v>
      </c>
      <c r="F31" s="428" t="s">
        <v>450</v>
      </c>
    </row>
    <row r="32" spans="1:6" ht="12.75">
      <c r="A32" s="375" t="s">
        <v>48</v>
      </c>
      <c r="B32" s="243">
        <f t="shared" si="2"/>
        <v>100</v>
      </c>
      <c r="C32" s="444">
        <v>500</v>
      </c>
      <c r="E32" s="427">
        <v>40875</v>
      </c>
      <c r="F32" s="428" t="s">
        <v>451</v>
      </c>
    </row>
    <row r="33" spans="1:6" ht="12.75">
      <c r="A33" s="375" t="s">
        <v>49</v>
      </c>
      <c r="B33" s="243">
        <f t="shared" si="2"/>
        <v>200</v>
      </c>
      <c r="C33" s="444">
        <v>1000</v>
      </c>
      <c r="E33" s="427">
        <v>40875</v>
      </c>
      <c r="F33" s="428" t="s">
        <v>451</v>
      </c>
    </row>
    <row r="34" spans="1:6" ht="12.75">
      <c r="A34" s="375" t="s">
        <v>50</v>
      </c>
      <c r="B34" s="243">
        <f t="shared" si="2"/>
        <v>200</v>
      </c>
      <c r="C34" s="444">
        <v>1000</v>
      </c>
      <c r="E34" s="427">
        <v>40875</v>
      </c>
      <c r="F34" s="428" t="s">
        <v>451</v>
      </c>
    </row>
    <row r="35" spans="1:3" ht="12.75">
      <c r="A35" s="375" t="s">
        <v>51</v>
      </c>
      <c r="B35" s="243">
        <f t="shared" si="2"/>
        <v>0</v>
      </c>
      <c r="C35" s="245">
        <v>0</v>
      </c>
    </row>
    <row r="36" spans="1:3" ht="12.75">
      <c r="A36" s="375" t="s">
        <v>52</v>
      </c>
      <c r="B36" s="243">
        <f t="shared" si="2"/>
        <v>100</v>
      </c>
      <c r="C36" s="245">
        <v>500</v>
      </c>
    </row>
    <row r="37" spans="1:4" ht="12.75">
      <c r="A37" s="375" t="s">
        <v>53</v>
      </c>
      <c r="B37" s="243">
        <f t="shared" si="2"/>
        <v>100</v>
      </c>
      <c r="C37" s="245">
        <v>500</v>
      </c>
      <c r="D37" s="252"/>
    </row>
    <row r="38" spans="1:3" ht="12.75">
      <c r="A38" s="375" t="s">
        <v>54</v>
      </c>
      <c r="B38" s="243">
        <f t="shared" si="2"/>
        <v>0</v>
      </c>
      <c r="C38" s="245">
        <v>0</v>
      </c>
    </row>
    <row r="39" spans="1:3" ht="13.5" thickBot="1">
      <c r="A39" s="381" t="s">
        <v>55</v>
      </c>
      <c r="B39" s="248">
        <f t="shared" si="2"/>
        <v>0</v>
      </c>
      <c r="C39" s="245">
        <v>0</v>
      </c>
    </row>
    <row r="40" spans="1:3" ht="13.5" thickTop="1">
      <c r="A40" s="382" t="s">
        <v>56</v>
      </c>
      <c r="B40" s="232">
        <f t="shared" si="2"/>
        <v>1725</v>
      </c>
      <c r="C40" s="271">
        <f>SUM(C30:C39)</f>
        <v>8625</v>
      </c>
    </row>
    <row r="41" spans="1:3" ht="12.75">
      <c r="A41" s="403"/>
      <c r="B41" s="399"/>
      <c r="C41" s="408"/>
    </row>
    <row r="42" spans="1:6" ht="12.75">
      <c r="A42" s="380" t="s">
        <v>57</v>
      </c>
      <c r="B42" s="422"/>
      <c r="C42" s="261"/>
      <c r="D42" s="253"/>
      <c r="E42" s="427">
        <v>40875</v>
      </c>
      <c r="F42" s="428" t="s">
        <v>453</v>
      </c>
    </row>
    <row r="43" spans="1:6" ht="12.75">
      <c r="A43" s="377" t="s">
        <v>58</v>
      </c>
      <c r="B43" s="243">
        <f>C43/$B$4</f>
        <v>180</v>
      </c>
      <c r="C43" s="245">
        <f>75*12</f>
        <v>900</v>
      </c>
      <c r="E43" s="427">
        <v>40875</v>
      </c>
      <c r="F43" s="428" t="s">
        <v>454</v>
      </c>
    </row>
    <row r="44" spans="1:6" ht="12.75">
      <c r="A44" s="377" t="s">
        <v>391</v>
      </c>
      <c r="B44" s="243">
        <f>C44/$B$4</f>
        <v>288</v>
      </c>
      <c r="C44" s="245">
        <f>2*(60*12)</f>
        <v>1440</v>
      </c>
      <c r="E44" s="427">
        <v>40875</v>
      </c>
      <c r="F44" s="428" t="s">
        <v>455</v>
      </c>
    </row>
    <row r="45" spans="1:3" ht="12.75">
      <c r="A45" s="375" t="s">
        <v>59</v>
      </c>
      <c r="B45" s="243">
        <f>C45/$B$4</f>
        <v>180</v>
      </c>
      <c r="C45" s="245">
        <f>75*12</f>
        <v>900</v>
      </c>
    </row>
    <row r="46" spans="1:6" ht="13.5" thickBot="1">
      <c r="A46" s="375" t="s">
        <v>60</v>
      </c>
      <c r="B46" s="248">
        <f>C46/$B$4</f>
        <v>120</v>
      </c>
      <c r="C46" s="245">
        <f>2*(25*12)</f>
        <v>600</v>
      </c>
      <c r="E46" s="427">
        <v>40875</v>
      </c>
      <c r="F46" s="428" t="s">
        <v>456</v>
      </c>
    </row>
    <row r="47" spans="1:3" ht="13.5" thickTop="1">
      <c r="A47" s="382" t="s">
        <v>61</v>
      </c>
      <c r="B47" s="232">
        <f>C47/$B$4</f>
        <v>768</v>
      </c>
      <c r="C47" s="271">
        <f>SUM(C43:C46)</f>
        <v>3840</v>
      </c>
    </row>
    <row r="48" spans="1:5" s="212" customFormat="1" ht="13.5" thickBot="1">
      <c r="A48" s="403"/>
      <c r="B48" s="222"/>
      <c r="C48" s="272"/>
      <c r="E48" s="431"/>
    </row>
    <row r="49" spans="1:3" ht="27" thickBot="1" thickTop="1">
      <c r="A49" s="404" t="s">
        <v>413</v>
      </c>
      <c r="B49" s="423" t="s">
        <v>389</v>
      </c>
      <c r="C49" s="320" t="s">
        <v>93</v>
      </c>
    </row>
    <row r="50" spans="1:4" ht="13.5" thickTop="1">
      <c r="A50" s="262" t="s">
        <v>149</v>
      </c>
      <c r="B50" s="424"/>
      <c r="C50" s="263"/>
      <c r="D50" s="254"/>
    </row>
    <row r="51" spans="1:6" ht="12.75">
      <c r="A51" s="375" t="s">
        <v>0</v>
      </c>
      <c r="B51" s="243">
        <f aca="true" t="shared" si="3" ref="B51:B62">C51/$B$4</f>
        <v>32</v>
      </c>
      <c r="C51" s="245">
        <f>20*8</f>
        <v>160</v>
      </c>
      <c r="D51" s="246"/>
      <c r="E51" s="427">
        <v>40748</v>
      </c>
      <c r="F51" s="428" t="s">
        <v>431</v>
      </c>
    </row>
    <row r="52" spans="1:6" ht="12.75">
      <c r="A52" s="375" t="s">
        <v>1</v>
      </c>
      <c r="B52" s="243">
        <f t="shared" si="3"/>
        <v>50</v>
      </c>
      <c r="C52" s="245">
        <v>250</v>
      </c>
      <c r="D52" s="252"/>
      <c r="F52" s="428"/>
    </row>
    <row r="53" spans="1:6" ht="12.75">
      <c r="A53" s="375" t="s">
        <v>347</v>
      </c>
      <c r="B53" s="243">
        <f t="shared" si="3"/>
        <v>0</v>
      </c>
      <c r="C53" s="444">
        <v>0</v>
      </c>
      <c r="D53" s="225"/>
      <c r="E53" s="427">
        <v>40875</v>
      </c>
      <c r="F53" s="428" t="s">
        <v>457</v>
      </c>
    </row>
    <row r="54" spans="1:6" ht="12.75">
      <c r="A54" s="375" t="s">
        <v>2</v>
      </c>
      <c r="B54" s="243">
        <f t="shared" si="3"/>
        <v>0</v>
      </c>
      <c r="C54" s="245">
        <v>0</v>
      </c>
      <c r="F54" s="428"/>
    </row>
    <row r="55" spans="1:6" ht="12.75">
      <c r="A55" s="375" t="s">
        <v>3</v>
      </c>
      <c r="B55" s="243">
        <f t="shared" si="3"/>
        <v>240</v>
      </c>
      <c r="C55" s="245">
        <f>100*12</f>
        <v>1200</v>
      </c>
      <c r="E55" s="427">
        <v>40875</v>
      </c>
      <c r="F55" s="428" t="s">
        <v>458</v>
      </c>
    </row>
    <row r="56" spans="1:6" ht="12.75">
      <c r="A56" s="375" t="s">
        <v>4</v>
      </c>
      <c r="B56" s="243">
        <f t="shared" si="3"/>
        <v>600</v>
      </c>
      <c r="C56" s="245">
        <v>3000</v>
      </c>
      <c r="F56" s="428"/>
    </row>
    <row r="57" spans="1:6" ht="12.75">
      <c r="A57" s="375" t="s">
        <v>17</v>
      </c>
      <c r="B57" s="243">
        <f t="shared" si="3"/>
        <v>800</v>
      </c>
      <c r="C57" s="245">
        <v>4000</v>
      </c>
      <c r="D57" s="246"/>
      <c r="F57" s="428"/>
    </row>
    <row r="58" spans="1:6" ht="12.75">
      <c r="A58" s="375" t="s">
        <v>5</v>
      </c>
      <c r="B58" s="243">
        <f t="shared" si="3"/>
        <v>70</v>
      </c>
      <c r="C58" s="245">
        <v>350</v>
      </c>
      <c r="D58" s="252"/>
      <c r="F58" s="428"/>
    </row>
    <row r="59" spans="1:6" ht="12.75">
      <c r="A59" s="375" t="s">
        <v>6</v>
      </c>
      <c r="B59" s="243">
        <f t="shared" si="3"/>
        <v>60</v>
      </c>
      <c r="C59" s="245">
        <f>25*12</f>
        <v>300</v>
      </c>
      <c r="D59" s="246"/>
      <c r="F59" s="428"/>
    </row>
    <row r="60" spans="1:6" ht="12.75">
      <c r="A60" s="375" t="s">
        <v>392</v>
      </c>
      <c r="B60" s="243">
        <f t="shared" si="3"/>
        <v>0</v>
      </c>
      <c r="C60" s="245">
        <v>0</v>
      </c>
      <c r="D60" s="246"/>
      <c r="E60" s="427">
        <v>40875</v>
      </c>
      <c r="F60" s="428" t="s">
        <v>459</v>
      </c>
    </row>
    <row r="61" spans="1:4" ht="13.5" thickBot="1">
      <c r="A61" s="375" t="s">
        <v>7</v>
      </c>
      <c r="B61" s="248">
        <f t="shared" si="3"/>
        <v>100</v>
      </c>
      <c r="C61" s="245">
        <v>500</v>
      </c>
      <c r="D61" s="252"/>
    </row>
    <row r="62" spans="1:3" ht="13.5" thickTop="1">
      <c r="A62" s="382" t="s">
        <v>150</v>
      </c>
      <c r="B62" s="232">
        <f t="shared" si="3"/>
        <v>1952</v>
      </c>
      <c r="C62" s="273">
        <f>SUM(C51:C61)</f>
        <v>9760</v>
      </c>
    </row>
    <row r="63" spans="1:3" ht="12.75">
      <c r="A63" s="403"/>
      <c r="B63" s="399"/>
      <c r="C63" s="408"/>
    </row>
    <row r="64" spans="1:3" ht="12.75">
      <c r="A64" s="380" t="s">
        <v>8</v>
      </c>
      <c r="B64" s="422"/>
      <c r="C64" s="261"/>
    </row>
    <row r="65" spans="1:6" ht="12.75">
      <c r="A65" s="375" t="s">
        <v>9</v>
      </c>
      <c r="B65" s="243">
        <f>C65/$B$4</f>
        <v>100</v>
      </c>
      <c r="C65" s="245">
        <v>500</v>
      </c>
      <c r="E65" s="435">
        <v>40748</v>
      </c>
      <c r="F65" s="428" t="s">
        <v>432</v>
      </c>
    </row>
    <row r="66" spans="1:6" ht="12.75">
      <c r="A66" s="375" t="s">
        <v>10</v>
      </c>
      <c r="B66" s="243">
        <f>C66/$B$4</f>
        <v>340</v>
      </c>
      <c r="C66" s="245">
        <f>850*2</f>
        <v>1700</v>
      </c>
      <c r="E66" s="435">
        <v>40613</v>
      </c>
      <c r="F66" s="428" t="s">
        <v>433</v>
      </c>
    </row>
    <row r="67" spans="1:3" ht="13.5" thickBot="1">
      <c r="A67" s="379" t="s">
        <v>90</v>
      </c>
      <c r="B67" s="248">
        <f>C67/$B$4</f>
        <v>0</v>
      </c>
      <c r="C67" s="256">
        <v>0</v>
      </c>
    </row>
    <row r="68" spans="1:3" ht="13.5" thickTop="1">
      <c r="A68" s="383" t="s">
        <v>91</v>
      </c>
      <c r="B68" s="232">
        <f>C68/$B$4</f>
        <v>440</v>
      </c>
      <c r="C68" s="249">
        <f>SUM(C65:C67)</f>
        <v>2200</v>
      </c>
    </row>
    <row r="69" spans="1:3" ht="12.75">
      <c r="A69" s="409" t="s">
        <v>95</v>
      </c>
      <c r="B69" s="425">
        <f>C69/$B$4</f>
        <v>4906</v>
      </c>
      <c r="C69" s="410">
        <f>C62+C68+C47+C40+C27+C19</f>
        <v>24530</v>
      </c>
    </row>
    <row r="70" spans="1:3" ht="12.75">
      <c r="A70" s="403"/>
      <c r="B70" s="399"/>
      <c r="C70" s="408"/>
    </row>
    <row r="71" spans="1:3" ht="12.75">
      <c r="A71" s="384" t="s">
        <v>151</v>
      </c>
      <c r="B71" s="422"/>
      <c r="C71" s="274"/>
    </row>
    <row r="72" spans="1:6" ht="12.75">
      <c r="A72" s="375" t="s">
        <v>86</v>
      </c>
      <c r="B72" s="243">
        <f>C72/$B$4</f>
        <v>240</v>
      </c>
      <c r="C72" s="444">
        <v>1200</v>
      </c>
      <c r="E72" s="435">
        <v>40875</v>
      </c>
      <c r="F72" s="428" t="s">
        <v>460</v>
      </c>
    </row>
    <row r="73" spans="1:6" ht="13.5" thickBot="1">
      <c r="A73" s="405" t="s">
        <v>108</v>
      </c>
      <c r="B73" s="248">
        <f>C73/$B$4</f>
        <v>0</v>
      </c>
      <c r="C73" s="445">
        <v>0</v>
      </c>
      <c r="E73" s="435">
        <v>40875</v>
      </c>
      <c r="F73" s="428" t="s">
        <v>461</v>
      </c>
    </row>
    <row r="74" spans="1:3" ht="13.5" thickTop="1">
      <c r="A74" s="406" t="s">
        <v>152</v>
      </c>
      <c r="B74" s="232">
        <f>C74/$B$4</f>
        <v>240</v>
      </c>
      <c r="C74" s="249">
        <f>C73+C72</f>
        <v>1200</v>
      </c>
    </row>
    <row r="75" spans="1:3" ht="12.75">
      <c r="A75" s="413"/>
      <c r="B75" s="414"/>
      <c r="C75" s="415"/>
    </row>
    <row r="76" spans="1:3" ht="15">
      <c r="A76" s="411" t="s">
        <v>427</v>
      </c>
      <c r="B76" s="426">
        <f>C76/$B$4</f>
        <v>5146</v>
      </c>
      <c r="C76" s="412">
        <f>C74+C69</f>
        <v>25730</v>
      </c>
    </row>
    <row r="77" spans="1:3" ht="15">
      <c r="A77" s="417"/>
      <c r="B77" s="399"/>
      <c r="C77" s="415"/>
    </row>
    <row r="78" spans="1:3" ht="15">
      <c r="A78" s="416" t="s">
        <v>98</v>
      </c>
      <c r="B78" s="426">
        <f>C78/$B$4</f>
        <v>-328.35999999999984</v>
      </c>
      <c r="C78" s="412">
        <f>C13-C76</f>
        <v>-1641.7999999999993</v>
      </c>
    </row>
    <row r="79" spans="1:3" ht="15">
      <c r="A79" s="417"/>
      <c r="B79" s="418"/>
      <c r="C79" s="419"/>
    </row>
    <row r="80" spans="1:6" ht="15">
      <c r="A80" s="447" t="s">
        <v>178</v>
      </c>
      <c r="B80" s="448">
        <v>0</v>
      </c>
      <c r="C80" s="446">
        <v>0</v>
      </c>
      <c r="E80" s="427">
        <v>40875</v>
      </c>
      <c r="F80" s="428" t="s">
        <v>462</v>
      </c>
    </row>
    <row r="81" spans="1:3" ht="15">
      <c r="A81" s="420"/>
      <c r="B81" s="418"/>
      <c r="C81" s="421"/>
    </row>
    <row r="82" spans="1:6" ht="15">
      <c r="A82" s="449" t="s">
        <v>92</v>
      </c>
      <c r="B82" s="450">
        <f>B80+B78</f>
        <v>-328.35999999999984</v>
      </c>
      <c r="C82" s="446">
        <f>C78+C80</f>
        <v>-1641.7999999999993</v>
      </c>
      <c r="E82" s="427">
        <v>40875</v>
      </c>
      <c r="F82" s="428" t="s">
        <v>463</v>
      </c>
    </row>
    <row r="84" spans="1:2" ht="12.75" hidden="1">
      <c r="A84" s="214" t="s">
        <v>26</v>
      </c>
      <c r="B84" s="222" t="s">
        <v>87</v>
      </c>
    </row>
    <row r="85" spans="1:3" ht="12.75" hidden="1">
      <c r="A85" s="214" t="s">
        <v>27</v>
      </c>
      <c r="B85" s="222" t="e">
        <f>PV(C86/12,C87*12,-#REF!/12)</f>
        <v>#REF!</v>
      </c>
      <c r="C85" s="268" t="e">
        <f>'Sources and Uses of Funds Perm'!#REF!</f>
        <v>#REF!</v>
      </c>
    </row>
    <row r="86" spans="1:3" ht="12.75" hidden="1">
      <c r="A86" s="214" t="s">
        <v>28</v>
      </c>
      <c r="C86" s="275" t="e">
        <f>'Sources and Uses of Funds Perm'!#REF!</f>
        <v>#REF!</v>
      </c>
    </row>
    <row r="87" spans="1:3" ht="12.75" hidden="1">
      <c r="A87" s="214" t="s">
        <v>29</v>
      </c>
      <c r="C87" s="268">
        <v>30</v>
      </c>
    </row>
  </sheetData>
  <sheetProtection/>
  <printOptions/>
  <pageMargins left="0.75" right="0.75" top="1" bottom="0.55" header="0.3" footer="0.55"/>
  <pageSetup fitToHeight="0" fitToWidth="1" horizontalDpi="600" verticalDpi="600" orientation="portrait" scale="66" r:id="rId1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SheetLayoutView="100" zoomScalePageLayoutView="0" workbookViewId="0" topLeftCell="A1">
      <selection activeCell="A16" sqref="A16"/>
    </sheetView>
  </sheetViews>
  <sheetFormatPr defaultColWidth="8.8515625" defaultRowHeight="12.75"/>
  <cols>
    <col min="1" max="1" width="56.421875" style="214" customWidth="1"/>
    <col min="2" max="2" width="11.140625" style="213" bestFit="1" customWidth="1"/>
    <col min="3" max="3" width="9.421875" style="214" bestFit="1" customWidth="1"/>
    <col min="4" max="4" width="12.140625" style="432" bestFit="1" customWidth="1"/>
    <col min="5" max="6" width="8.8515625" style="214" customWidth="1"/>
    <col min="7" max="7" width="27.00390625" style="214" customWidth="1"/>
    <col min="8" max="16384" width="8.8515625" style="214" customWidth="1"/>
  </cols>
  <sheetData>
    <row r="1" spans="1:5" ht="12.75">
      <c r="A1" s="211" t="str">
        <f>'Rents with Section 8'!A1</f>
        <v>Sutters Mill Court WITH SECTION 8</v>
      </c>
      <c r="E1" s="428"/>
    </row>
    <row r="2" spans="1:5" ht="12.75">
      <c r="A2" s="215">
        <f>'Rents with Section 8'!A2</f>
        <v>40975</v>
      </c>
      <c r="E2" s="428"/>
    </row>
    <row r="3" ht="12.75">
      <c r="E3" s="428"/>
    </row>
    <row r="4" spans="1:5" ht="12.75">
      <c r="A4" s="276" t="s">
        <v>416</v>
      </c>
      <c r="E4" s="428"/>
    </row>
    <row r="5" ht="13.5" thickBot="1">
      <c r="E5" s="428"/>
    </row>
    <row r="6" spans="1:5" ht="12.75">
      <c r="A6" s="287" t="s">
        <v>479</v>
      </c>
      <c r="B6" s="285"/>
      <c r="C6" s="286"/>
      <c r="E6" s="428"/>
    </row>
    <row r="7" spans="1:5" ht="12.75">
      <c r="A7" s="277" t="s">
        <v>467</v>
      </c>
      <c r="B7" s="278">
        <v>1610</v>
      </c>
      <c r="C7" s="279"/>
      <c r="D7" s="435">
        <v>40889</v>
      </c>
      <c r="E7" s="428" t="s">
        <v>469</v>
      </c>
    </row>
    <row r="8" spans="1:5" ht="12.75">
      <c r="A8" s="277" t="s">
        <v>468</v>
      </c>
      <c r="B8" s="278">
        <v>820</v>
      </c>
      <c r="C8" s="279"/>
      <c r="D8" s="435"/>
      <c r="E8" s="428" t="s">
        <v>491</v>
      </c>
    </row>
    <row r="9" spans="1:5" ht="12.75">
      <c r="A9" s="277" t="s">
        <v>471</v>
      </c>
      <c r="B9" s="278">
        <v>2853</v>
      </c>
      <c r="C9" s="279"/>
      <c r="D9" s="435">
        <v>40889</v>
      </c>
      <c r="E9" s="428" t="s">
        <v>472</v>
      </c>
    </row>
    <row r="10" spans="1:5" ht="12.75">
      <c r="A10" s="277" t="s">
        <v>486</v>
      </c>
      <c r="B10" s="278"/>
      <c r="C10" s="279"/>
      <c r="E10" s="428"/>
    </row>
    <row r="11" spans="1:5" ht="12.75">
      <c r="A11" s="277" t="s">
        <v>487</v>
      </c>
      <c r="B11" s="278">
        <v>370</v>
      </c>
      <c r="C11" s="279"/>
      <c r="E11" s="428"/>
    </row>
    <row r="12" spans="1:5" ht="12.75">
      <c r="A12" s="277" t="s">
        <v>488</v>
      </c>
      <c r="B12" s="278"/>
      <c r="C12" s="279"/>
      <c r="E12" s="428"/>
    </row>
    <row r="13" spans="1:5" ht="12.75">
      <c r="A13" s="277" t="s">
        <v>489</v>
      </c>
      <c r="B13" s="278"/>
      <c r="C13" s="279"/>
      <c r="D13" s="435"/>
      <c r="E13" s="428"/>
    </row>
    <row r="14" spans="1:5" ht="12.75">
      <c r="A14" s="277" t="s">
        <v>490</v>
      </c>
      <c r="B14" s="278"/>
      <c r="C14" s="279"/>
      <c r="D14" s="435"/>
      <c r="E14" s="428"/>
    </row>
    <row r="15" spans="1:5" ht="12.75">
      <c r="A15" s="277" t="s">
        <v>492</v>
      </c>
      <c r="B15" s="278"/>
      <c r="C15" s="279"/>
      <c r="E15" s="428"/>
    </row>
    <row r="16" spans="1:5" ht="12.75">
      <c r="A16" s="277"/>
      <c r="B16" s="278"/>
      <c r="C16" s="279"/>
      <c r="D16" s="435"/>
      <c r="E16" s="428"/>
    </row>
    <row r="17" spans="1:5" ht="12.75">
      <c r="A17" s="277"/>
      <c r="B17" s="278"/>
      <c r="C17" s="279"/>
      <c r="E17" s="428"/>
    </row>
    <row r="18" spans="1:5" ht="12.75">
      <c r="A18" s="277"/>
      <c r="B18" s="278"/>
      <c r="C18" s="279"/>
      <c r="E18" s="428"/>
    </row>
    <row r="19" spans="1:5" ht="13.5" thickBot="1">
      <c r="A19" s="290"/>
      <c r="B19" s="251"/>
      <c r="C19" s="291"/>
      <c r="E19" s="428"/>
    </row>
    <row r="20" spans="1:5" ht="13.5" thickTop="1">
      <c r="A20" s="288" t="s">
        <v>141</v>
      </c>
      <c r="B20" s="289">
        <f>SUM(B7:B19)</f>
        <v>5653</v>
      </c>
      <c r="C20" s="279"/>
      <c r="E20" s="428"/>
    </row>
    <row r="21" spans="1:5" ht="12.75">
      <c r="A21" s="281"/>
      <c r="B21" s="278"/>
      <c r="C21" s="279"/>
      <c r="E21" s="428"/>
    </row>
    <row r="22" spans="1:5" ht="13.5" thickBot="1">
      <c r="A22" s="292" t="s">
        <v>124</v>
      </c>
      <c r="B22" s="229">
        <v>0</v>
      </c>
      <c r="C22" s="293">
        <v>0</v>
      </c>
      <c r="E22" s="428"/>
    </row>
    <row r="23" spans="1:5" ht="13.5" thickTop="1">
      <c r="A23" s="294" t="s">
        <v>125</v>
      </c>
      <c r="B23" s="232">
        <f>B22+B20</f>
        <v>5653</v>
      </c>
      <c r="C23" s="295"/>
      <c r="E23" s="428"/>
    </row>
    <row r="24" spans="1:5" ht="12.75">
      <c r="A24" s="282"/>
      <c r="B24" s="219"/>
      <c r="C24" s="280"/>
      <c r="E24" s="428"/>
    </row>
    <row r="25" spans="1:5" ht="13.5" thickBot="1">
      <c r="A25" s="292" t="s">
        <v>42</v>
      </c>
      <c r="B25" s="229">
        <v>0</v>
      </c>
      <c r="C25" s="293">
        <v>0</v>
      </c>
      <c r="E25" s="428"/>
    </row>
    <row r="26" spans="1:5" ht="13.5" thickTop="1">
      <c r="A26" s="294" t="s">
        <v>126</v>
      </c>
      <c r="B26" s="232">
        <f>B23+B25</f>
        <v>5653</v>
      </c>
      <c r="C26" s="296"/>
      <c r="E26" s="428"/>
    </row>
    <row r="27" spans="1:5" ht="12.75">
      <c r="A27" s="282"/>
      <c r="B27" s="219"/>
      <c r="C27" s="280"/>
      <c r="E27" s="428"/>
    </row>
    <row r="28" spans="1:5" ht="13.5" thickBot="1">
      <c r="A28" s="292" t="s">
        <v>127</v>
      </c>
      <c r="B28" s="229">
        <v>0</v>
      </c>
      <c r="C28" s="293">
        <v>0</v>
      </c>
      <c r="E28" s="428"/>
    </row>
    <row r="29" spans="1:5" ht="13.5" thickTop="1">
      <c r="A29" s="294" t="s">
        <v>128</v>
      </c>
      <c r="B29" s="232">
        <f>B28+B26</f>
        <v>5653</v>
      </c>
      <c r="C29" s="296"/>
      <c r="E29" s="428">
        <v>55826</v>
      </c>
    </row>
    <row r="30" spans="1:5" ht="12.75">
      <c r="A30" s="282"/>
      <c r="B30" s="219"/>
      <c r="C30" s="280"/>
      <c r="E30" s="428" t="s">
        <v>465</v>
      </c>
    </row>
    <row r="31" spans="1:5" ht="13.5" thickBot="1">
      <c r="A31" s="282" t="s">
        <v>129</v>
      </c>
      <c r="B31" s="219">
        <v>0</v>
      </c>
      <c r="C31" s="283">
        <v>0</v>
      </c>
      <c r="E31" s="428" t="s">
        <v>474</v>
      </c>
    </row>
    <row r="32" spans="1:5" ht="13.5" thickTop="1">
      <c r="A32" s="294" t="s">
        <v>387</v>
      </c>
      <c r="B32" s="232">
        <f>B29+B31</f>
        <v>5653</v>
      </c>
      <c r="C32" s="296"/>
      <c r="E32" s="428"/>
    </row>
    <row r="33" spans="1:5" ht="12.75">
      <c r="A33" s="284"/>
      <c r="B33" s="224"/>
      <c r="C33" s="280"/>
      <c r="E33" s="428"/>
    </row>
    <row r="34" spans="1:5" ht="12.75">
      <c r="A34" s="297" t="s">
        <v>417</v>
      </c>
      <c r="B34" s="298"/>
      <c r="C34" s="434"/>
      <c r="E34" s="428"/>
    </row>
    <row r="35" spans="1:5" ht="13.5" thickBot="1">
      <c r="A35" s="290" t="s">
        <v>384</v>
      </c>
      <c r="B35" s="251">
        <v>0</v>
      </c>
      <c r="C35" s="300"/>
      <c r="E35" s="428"/>
    </row>
    <row r="36" spans="1:5" ht="16.5" thickBot="1" thickTop="1">
      <c r="A36" s="301" t="s">
        <v>130</v>
      </c>
      <c r="B36" s="302">
        <f>B32+B35</f>
        <v>5653</v>
      </c>
      <c r="C36" s="299"/>
      <c r="E36" s="428"/>
    </row>
    <row r="37" spans="1:5" ht="15.75" thickBot="1">
      <c r="A37" s="452"/>
      <c r="B37" s="453"/>
      <c r="C37" s="454"/>
      <c r="E37" s="428"/>
    </row>
    <row r="38" spans="1:5" ht="12.75">
      <c r="A38" s="287" t="s">
        <v>466</v>
      </c>
      <c r="B38" s="285"/>
      <c r="C38" s="286"/>
      <c r="E38" s="428"/>
    </row>
    <row r="39" spans="1:5" ht="12.75">
      <c r="A39" s="277" t="s">
        <v>131</v>
      </c>
      <c r="B39" s="278">
        <v>0</v>
      </c>
      <c r="C39" s="279"/>
      <c r="E39" s="428"/>
    </row>
    <row r="40" spans="1:5" ht="12.75">
      <c r="A40" s="277" t="s">
        <v>132</v>
      </c>
      <c r="B40" s="278">
        <v>1170</v>
      </c>
      <c r="C40" s="279"/>
      <c r="D40" s="435"/>
      <c r="E40" s="428"/>
    </row>
    <row r="41" spans="1:5" ht="12.75">
      <c r="A41" s="277" t="s">
        <v>133</v>
      </c>
      <c r="B41" s="278">
        <v>0</v>
      </c>
      <c r="C41" s="279"/>
      <c r="D41" s="435"/>
      <c r="E41" s="428"/>
    </row>
    <row r="42" spans="1:5" ht="12.75">
      <c r="A42" s="277" t="s">
        <v>276</v>
      </c>
      <c r="B42" s="278">
        <v>0</v>
      </c>
      <c r="C42" s="279"/>
      <c r="E42" s="428"/>
    </row>
    <row r="43" spans="1:5" ht="12.75">
      <c r="A43" s="277" t="s">
        <v>275</v>
      </c>
      <c r="B43" s="278">
        <v>0</v>
      </c>
      <c r="C43" s="279"/>
      <c r="E43" s="428"/>
    </row>
    <row r="44" spans="1:5" ht="12.75">
      <c r="A44" s="277" t="s">
        <v>134</v>
      </c>
      <c r="B44" s="278">
        <v>0</v>
      </c>
      <c r="C44" s="279"/>
      <c r="E44" s="428"/>
    </row>
    <row r="45" spans="1:5" ht="12.75">
      <c r="A45" s="277" t="s">
        <v>135</v>
      </c>
      <c r="B45" s="278">
        <v>4602</v>
      </c>
      <c r="C45" s="279"/>
      <c r="D45" s="435"/>
      <c r="E45" s="428"/>
    </row>
    <row r="46" spans="1:5" ht="12.75">
      <c r="A46" s="277" t="s">
        <v>470</v>
      </c>
      <c r="B46" s="278">
        <v>33242</v>
      </c>
      <c r="C46" s="279"/>
      <c r="D46" s="435"/>
      <c r="E46" s="428"/>
    </row>
    <row r="47" spans="1:5" ht="12.75">
      <c r="A47" s="277" t="s">
        <v>136</v>
      </c>
      <c r="B47" s="278">
        <v>0</v>
      </c>
      <c r="C47" s="279"/>
      <c r="E47" s="428"/>
    </row>
    <row r="48" spans="1:5" ht="12.75">
      <c r="A48" s="277" t="s">
        <v>137</v>
      </c>
      <c r="B48" s="278">
        <v>5465</v>
      </c>
      <c r="C48" s="279"/>
      <c r="D48" s="435">
        <v>40889</v>
      </c>
      <c r="E48" s="428" t="s">
        <v>473</v>
      </c>
    </row>
    <row r="49" spans="1:5" ht="12.75">
      <c r="A49" s="277" t="s">
        <v>138</v>
      </c>
      <c r="B49" s="278">
        <v>0</v>
      </c>
      <c r="C49" s="279"/>
      <c r="E49" s="428"/>
    </row>
    <row r="50" spans="1:5" ht="12.75">
      <c r="A50" s="277" t="s">
        <v>139</v>
      </c>
      <c r="B50" s="278">
        <v>6653</v>
      </c>
      <c r="C50" s="279"/>
      <c r="E50" s="428"/>
    </row>
    <row r="51" spans="1:5" ht="13.5" thickBot="1">
      <c r="A51" s="290" t="s">
        <v>140</v>
      </c>
      <c r="B51" s="251">
        <v>4693</v>
      </c>
      <c r="C51" s="291"/>
      <c r="E51" s="428"/>
    </row>
    <row r="52" spans="1:5" ht="13.5" thickTop="1">
      <c r="A52" s="288" t="s">
        <v>141</v>
      </c>
      <c r="B52" s="289">
        <f>SUM(B39:B51)</f>
        <v>55825</v>
      </c>
      <c r="C52" s="279"/>
      <c r="E52" s="428"/>
    </row>
    <row r="53" spans="1:5" ht="12.75">
      <c r="A53" s="281"/>
      <c r="B53" s="278"/>
      <c r="C53" s="279"/>
      <c r="E53" s="428"/>
    </row>
    <row r="54" spans="1:5" ht="13.5" thickBot="1">
      <c r="A54" s="292" t="s">
        <v>124</v>
      </c>
      <c r="B54" s="229">
        <f>B52*C54</f>
        <v>0</v>
      </c>
      <c r="C54" s="293">
        <v>0</v>
      </c>
      <c r="D54" s="435">
        <v>40889</v>
      </c>
      <c r="E54" s="428" t="s">
        <v>476</v>
      </c>
    </row>
    <row r="55" spans="1:5" ht="13.5" thickTop="1">
      <c r="A55" s="294" t="s">
        <v>125</v>
      </c>
      <c r="B55" s="232">
        <f>B54+B52</f>
        <v>55825</v>
      </c>
      <c r="C55" s="295"/>
      <c r="E55" s="428"/>
    </row>
    <row r="56" spans="1:5" ht="12.75">
      <c r="A56" s="282"/>
      <c r="B56" s="219"/>
      <c r="C56" s="280"/>
      <c r="E56" s="428"/>
    </row>
    <row r="57" spans="1:5" ht="13.5" thickBot="1">
      <c r="A57" s="292" t="s">
        <v>42</v>
      </c>
      <c r="B57" s="229">
        <v>0</v>
      </c>
      <c r="C57" s="293">
        <v>0.1</v>
      </c>
      <c r="D57" s="435">
        <v>40889</v>
      </c>
      <c r="E57" s="428" t="s">
        <v>475</v>
      </c>
    </row>
    <row r="58" spans="1:5" ht="13.5" thickTop="1">
      <c r="A58" s="294" t="s">
        <v>126</v>
      </c>
      <c r="B58" s="232">
        <f>B55+B57</f>
        <v>55825</v>
      </c>
      <c r="C58" s="296"/>
      <c r="E58" s="428"/>
    </row>
    <row r="59" spans="1:5" ht="12.75">
      <c r="A59" s="282"/>
      <c r="B59" s="219"/>
      <c r="C59" s="280"/>
      <c r="E59" s="428"/>
    </row>
    <row r="60" spans="1:5" ht="13.5" thickBot="1">
      <c r="A60" s="292" t="s">
        <v>127</v>
      </c>
      <c r="B60" s="229">
        <v>0</v>
      </c>
      <c r="C60" s="293">
        <v>0.08</v>
      </c>
      <c r="D60" s="435">
        <v>40889</v>
      </c>
      <c r="E60" s="428" t="s">
        <v>475</v>
      </c>
    </row>
    <row r="61" spans="1:5" ht="13.5" thickTop="1">
      <c r="A61" s="294" t="s">
        <v>128</v>
      </c>
      <c r="B61" s="232">
        <f>B60+B58</f>
        <v>55825</v>
      </c>
      <c r="C61" s="296"/>
      <c r="E61" s="428"/>
    </row>
    <row r="62" spans="1:5" ht="12.75">
      <c r="A62" s="282"/>
      <c r="B62" s="219"/>
      <c r="C62" s="280"/>
      <c r="E62" s="428"/>
    </row>
    <row r="63" spans="1:5" ht="13.5" thickBot="1">
      <c r="A63" s="282" t="s">
        <v>129</v>
      </c>
      <c r="B63" s="219">
        <v>0</v>
      </c>
      <c r="C63" s="283">
        <v>0.015</v>
      </c>
      <c r="D63" s="435">
        <v>40889</v>
      </c>
      <c r="E63" s="428" t="s">
        <v>475</v>
      </c>
    </row>
    <row r="64" spans="1:5" ht="13.5" thickTop="1">
      <c r="A64" s="294" t="s">
        <v>387</v>
      </c>
      <c r="B64" s="232">
        <f>B61+B63</f>
        <v>55825</v>
      </c>
      <c r="C64" s="296"/>
      <c r="E64" s="428"/>
    </row>
    <row r="65" spans="1:5" ht="12.75">
      <c r="A65" s="284"/>
      <c r="B65" s="224"/>
      <c r="C65" s="280"/>
      <c r="E65" s="428"/>
    </row>
    <row r="66" spans="1:5" ht="12.75">
      <c r="A66" s="297" t="s">
        <v>417</v>
      </c>
      <c r="B66" s="298"/>
      <c r="C66" s="434"/>
      <c r="E66" s="428"/>
    </row>
    <row r="67" spans="1:5" ht="13.5" thickBot="1">
      <c r="A67" s="290" t="s">
        <v>384</v>
      </c>
      <c r="B67" s="251">
        <v>0</v>
      </c>
      <c r="C67" s="300"/>
      <c r="E67" s="428"/>
    </row>
    <row r="68" spans="1:5" ht="15.75" thickTop="1">
      <c r="A68" s="456" t="s">
        <v>130</v>
      </c>
      <c r="B68" s="453">
        <f>B64+B67</f>
        <v>55825</v>
      </c>
      <c r="C68" s="454"/>
      <c r="E68" s="428"/>
    </row>
    <row r="69" spans="1:5" ht="12.75">
      <c r="A69" s="457" t="s">
        <v>482</v>
      </c>
      <c r="B69" s="219">
        <v>687</v>
      </c>
      <c r="C69" s="280"/>
      <c r="D69" s="462">
        <v>40919</v>
      </c>
      <c r="E69" s="428" t="s">
        <v>484</v>
      </c>
    </row>
    <row r="70" spans="1:5" ht="12.75">
      <c r="A70" s="457" t="s">
        <v>483</v>
      </c>
      <c r="B70" s="219">
        <v>780</v>
      </c>
      <c r="C70" s="280"/>
      <c r="D70" s="462">
        <v>40919</v>
      </c>
      <c r="E70" s="428" t="s">
        <v>485</v>
      </c>
    </row>
    <row r="71" spans="1:5" ht="15.75" thickBot="1">
      <c r="A71" s="458" t="s">
        <v>477</v>
      </c>
      <c r="B71" s="459">
        <f>B68+B36+B69+B70</f>
        <v>62945</v>
      </c>
      <c r="C71" s="460"/>
      <c r="D71" s="437">
        <v>40919</v>
      </c>
      <c r="E71" s="428" t="s">
        <v>481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0">
      <selection activeCell="C24" sqref="C24"/>
    </sheetView>
  </sheetViews>
  <sheetFormatPr defaultColWidth="8.8515625" defaultRowHeight="12.75"/>
  <cols>
    <col min="1" max="1" width="40.7109375" style="0" customWidth="1"/>
    <col min="2" max="2" width="11.7109375" style="0" customWidth="1"/>
    <col min="3" max="3" width="11.7109375" style="12" customWidth="1"/>
    <col min="4" max="4" width="25.7109375" style="0" customWidth="1"/>
  </cols>
  <sheetData>
    <row r="1" ht="12.75">
      <c r="A1" s="6" t="str">
        <f>'Construction Cost'!A1:A2</f>
        <v>Sutters Mill Court WITH SECTION 8</v>
      </c>
    </row>
    <row r="2" ht="12.75">
      <c r="A2" s="53" t="e">
        <f>#REF!</f>
        <v>#REF!</v>
      </c>
    </row>
    <row r="4" spans="1:2" ht="12.75">
      <c r="A4" s="5" t="s">
        <v>12</v>
      </c>
      <c r="B4" s="1"/>
    </row>
    <row r="5" ht="13.5" thickBot="1">
      <c r="B5" s="1"/>
    </row>
    <row r="6" spans="1:3" ht="12.75">
      <c r="A6" s="9" t="s">
        <v>13</v>
      </c>
      <c r="B6" s="55" t="s">
        <v>23</v>
      </c>
      <c r="C6" s="13" t="s">
        <v>22</v>
      </c>
    </row>
    <row r="7" spans="1:3" ht="12.75">
      <c r="A7" s="26" t="s">
        <v>120</v>
      </c>
      <c r="B7" s="30" t="e">
        <f>C7/#REF!</f>
        <v>#REF!</v>
      </c>
      <c r="C7" s="39">
        <v>0</v>
      </c>
    </row>
    <row r="8" spans="1:3" ht="12.75">
      <c r="A8" s="47" t="s">
        <v>158</v>
      </c>
      <c r="B8" s="30" t="e">
        <f>C8/#REF!</f>
        <v>#REF!</v>
      </c>
      <c r="C8" s="39">
        <f>Consultants!C36</f>
        <v>0</v>
      </c>
    </row>
    <row r="9" spans="1:3" ht="12.75">
      <c r="A9" s="47" t="s">
        <v>169</v>
      </c>
      <c r="B9" s="30" t="e">
        <f>C9/#REF!</f>
        <v>#REF!</v>
      </c>
      <c r="C9" s="135">
        <v>0</v>
      </c>
    </row>
    <row r="10" spans="1:4" ht="13.5" thickBot="1">
      <c r="A10" s="25" t="s">
        <v>16</v>
      </c>
      <c r="B10" s="31" t="e">
        <f>C10/#REF!</f>
        <v>#REF!</v>
      </c>
      <c r="C10" s="40">
        <f>SUM(C7:C9)</f>
        <v>0</v>
      </c>
      <c r="D10" s="50"/>
    </row>
    <row r="11" spans="2:6" ht="12.75">
      <c r="B11" s="1"/>
      <c r="F11" s="11"/>
    </row>
    <row r="12" ht="13.5" thickBot="1">
      <c r="B12" s="1"/>
    </row>
    <row r="13" spans="1:3" ht="12.75">
      <c r="A13" s="9" t="s">
        <v>14</v>
      </c>
      <c r="B13" s="55" t="s">
        <v>23</v>
      </c>
      <c r="C13" s="13" t="s">
        <v>22</v>
      </c>
    </row>
    <row r="14" spans="1:4" ht="12.75">
      <c r="A14" s="4" t="s">
        <v>105</v>
      </c>
      <c r="B14" s="32" t="e">
        <f>C14/#REF!</f>
        <v>#REF!</v>
      </c>
      <c r="C14" s="33">
        <f>Consultants!C11+Consultants!C13</f>
        <v>0</v>
      </c>
      <c r="D14" s="50"/>
    </row>
    <row r="15" spans="1:3" ht="12.75">
      <c r="A15" s="10" t="s">
        <v>277</v>
      </c>
      <c r="B15" s="34">
        <v>0</v>
      </c>
      <c r="C15" s="33">
        <f>SUM(Consultants!C14:C19,Consultants!C26:C26)</f>
        <v>0</v>
      </c>
    </row>
    <row r="16" spans="1:4" ht="12.75">
      <c r="A16" s="10" t="s">
        <v>171</v>
      </c>
      <c r="B16" s="32" t="e">
        <f>C16/#REF!</f>
        <v>#REF!</v>
      </c>
      <c r="C16" s="33">
        <v>0</v>
      </c>
      <c r="D16" s="50"/>
    </row>
    <row r="17" spans="1:4" ht="12.75">
      <c r="A17" s="10" t="s">
        <v>292</v>
      </c>
      <c r="B17" s="34" t="e">
        <f>C17/#REF!</f>
        <v>#REF!</v>
      </c>
      <c r="C17" s="35">
        <f>Consultants!C20</f>
        <v>0</v>
      </c>
      <c r="D17" s="50"/>
    </row>
    <row r="18" spans="1:3" ht="12.75">
      <c r="A18" s="4" t="s">
        <v>77</v>
      </c>
      <c r="B18" s="34" t="e">
        <f>C18/#REF!</f>
        <v>#REF!</v>
      </c>
      <c r="C18" s="35">
        <f>7500</f>
        <v>7500</v>
      </c>
    </row>
    <row r="19" spans="1:4" ht="12.75">
      <c r="A19" s="10" t="s">
        <v>285</v>
      </c>
      <c r="B19" s="34" t="e">
        <f>C19/#REF!</f>
        <v>#REF!</v>
      </c>
      <c r="C19" s="35">
        <f>10000+1500</f>
        <v>11500</v>
      </c>
      <c r="D19" s="28" t="s">
        <v>170</v>
      </c>
    </row>
    <row r="20" spans="1:4" ht="12.75">
      <c r="A20" s="10" t="s">
        <v>328</v>
      </c>
      <c r="B20" s="34" t="e">
        <f>C20/#REF!</f>
        <v>#REF!</v>
      </c>
      <c r="C20" s="35">
        <v>2000</v>
      </c>
      <c r="D20" s="50" t="s">
        <v>289</v>
      </c>
    </row>
    <row r="21" spans="1:5" ht="12.75">
      <c r="A21" s="10" t="s">
        <v>121</v>
      </c>
      <c r="B21" s="32" t="e">
        <f>C21/#REF!</f>
        <v>#REF!</v>
      </c>
      <c r="C21" s="33">
        <v>2578</v>
      </c>
      <c r="E21" s="18"/>
    </row>
    <row r="22" spans="1:4" ht="12.75">
      <c r="A22" s="4" t="s">
        <v>75</v>
      </c>
      <c r="B22" s="34" t="e">
        <f>C22/#REF!</f>
        <v>#REF!</v>
      </c>
      <c r="C22" s="35">
        <v>0</v>
      </c>
      <c r="D22" s="7"/>
    </row>
    <row r="23" spans="1:4" ht="12.75">
      <c r="A23" s="4" t="s">
        <v>76</v>
      </c>
      <c r="B23" s="34" t="e">
        <f>C23/#REF!</f>
        <v>#REF!</v>
      </c>
      <c r="C23" s="36">
        <v>0</v>
      </c>
      <c r="D23" s="49" t="s">
        <v>106</v>
      </c>
    </row>
    <row r="24" spans="1:3" ht="12.75">
      <c r="A24" s="4" t="s">
        <v>64</v>
      </c>
      <c r="B24" s="34">
        <v>0</v>
      </c>
      <c r="C24" s="35">
        <v>11000</v>
      </c>
    </row>
    <row r="25" spans="1:3" ht="13.5" thickBot="1">
      <c r="A25" s="25" t="s">
        <v>15</v>
      </c>
      <c r="B25" s="37" t="e">
        <f>C25/#REF!</f>
        <v>#REF!</v>
      </c>
      <c r="C25" s="38">
        <f>SUM(C14:C24)</f>
        <v>34578</v>
      </c>
    </row>
    <row r="26" ht="13.5" thickBot="1">
      <c r="B26" s="1"/>
    </row>
    <row r="27" spans="1:3" ht="13.5" thickBot="1">
      <c r="A27" s="21" t="s">
        <v>100</v>
      </c>
      <c r="B27" s="48" t="e">
        <f>C27/#REF!</f>
        <v>#REF!</v>
      </c>
      <c r="C27" s="54">
        <f>ROUND(C10-C25,0)</f>
        <v>-34578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C14" sqref="C14"/>
    </sheetView>
  </sheetViews>
  <sheetFormatPr defaultColWidth="8.8515625" defaultRowHeight="12.75"/>
  <cols>
    <col min="1" max="1" width="40.7109375" style="0" customWidth="1"/>
    <col min="2" max="3" width="11.7109375" style="1" customWidth="1"/>
    <col min="4" max="4" width="25.7109375" style="0" customWidth="1"/>
  </cols>
  <sheetData>
    <row r="1" spans="1:4" ht="12.75">
      <c r="A1" s="6" t="str">
        <f>'Construction Cost'!A1:A2</f>
        <v>Sutters Mill Court WITH SECTION 8</v>
      </c>
      <c r="D1" s="28"/>
    </row>
    <row r="2" spans="1:4" ht="12.75">
      <c r="A2" s="53">
        <f>'Construction Cost'!A2:A3</f>
        <v>40975</v>
      </c>
      <c r="D2" s="28"/>
    </row>
    <row r="3" ht="12.75">
      <c r="D3" s="28"/>
    </row>
    <row r="4" spans="1:4" ht="12.75">
      <c r="A4" s="5" t="s">
        <v>43</v>
      </c>
      <c r="D4" s="28"/>
    </row>
    <row r="5" ht="13.5" thickBot="1">
      <c r="D5" s="28"/>
    </row>
    <row r="6" spans="1:4" ht="12.75">
      <c r="A6" s="9" t="s">
        <v>36</v>
      </c>
      <c r="B6" s="56" t="s">
        <v>155</v>
      </c>
      <c r="C6" s="57" t="s">
        <v>22</v>
      </c>
      <c r="D6" s="28"/>
    </row>
    <row r="7" spans="1:4" ht="12.75">
      <c r="A7" s="4" t="s">
        <v>101</v>
      </c>
      <c r="B7" s="30" t="e">
        <f>C7/#REF!</f>
        <v>#REF!</v>
      </c>
      <c r="C7" s="41">
        <v>0</v>
      </c>
      <c r="D7" s="28" t="s">
        <v>11</v>
      </c>
    </row>
    <row r="8" spans="1:4" ht="12.75">
      <c r="A8" s="4" t="s">
        <v>104</v>
      </c>
      <c r="B8" s="30" t="e">
        <f>C8/#REF!</f>
        <v>#REF!</v>
      </c>
      <c r="C8" s="41">
        <v>0</v>
      </c>
      <c r="D8" s="28" t="s">
        <v>144</v>
      </c>
    </row>
    <row r="9" spans="1:4" ht="12.75">
      <c r="A9" s="201" t="s">
        <v>346</v>
      </c>
      <c r="B9" s="202" t="e">
        <f>C9/#REF!</f>
        <v>#REF!</v>
      </c>
      <c r="C9" s="203">
        <v>0</v>
      </c>
      <c r="D9" s="28"/>
    </row>
    <row r="10" spans="1:4" ht="12.75">
      <c r="A10" s="47" t="s">
        <v>143</v>
      </c>
      <c r="B10" s="30" t="e">
        <f>C10/#REF!</f>
        <v>#REF!</v>
      </c>
      <c r="C10" s="45">
        <v>0</v>
      </c>
      <c r="D10" s="28" t="s">
        <v>103</v>
      </c>
    </row>
    <row r="11" spans="1:4" ht="12.75">
      <c r="A11" s="47" t="s">
        <v>169</v>
      </c>
      <c r="B11" s="30" t="e">
        <f>C11/#REF!</f>
        <v>#REF!</v>
      </c>
      <c r="C11" s="51">
        <v>0</v>
      </c>
      <c r="D11" s="28"/>
    </row>
    <row r="12" spans="1:4" ht="12.75">
      <c r="A12" s="47" t="s">
        <v>158</v>
      </c>
      <c r="B12" s="30" t="e">
        <f>C12/#REF!</f>
        <v>#REF!</v>
      </c>
      <c r="C12" s="51">
        <f>Consultants!D36+Consultants!C36</f>
        <v>0</v>
      </c>
      <c r="D12" s="470" t="s">
        <v>156</v>
      </c>
    </row>
    <row r="13" spans="1:4" ht="12.75">
      <c r="A13" s="47" t="s">
        <v>154</v>
      </c>
      <c r="B13" s="43" t="e">
        <f>C13/#REF!</f>
        <v>#REF!</v>
      </c>
      <c r="C13" s="51">
        <v>0</v>
      </c>
      <c r="D13" s="470"/>
    </row>
    <row r="14" spans="1:4" ht="13.5" thickBot="1">
      <c r="A14" s="27" t="s">
        <v>102</v>
      </c>
      <c r="B14" s="31" t="e">
        <f>C14/#REF!</f>
        <v>#REF!</v>
      </c>
      <c r="C14" s="44">
        <f>SUM(C7:C13)</f>
        <v>0</v>
      </c>
      <c r="D14" s="471"/>
    </row>
    <row r="15" ht="12.75">
      <c r="D15" s="28"/>
    </row>
    <row r="16" ht="13.5" thickBot="1">
      <c r="D16" s="28"/>
    </row>
    <row r="17" spans="1:5" ht="12.75">
      <c r="A17" s="9" t="s">
        <v>40</v>
      </c>
      <c r="B17" s="56" t="s">
        <v>155</v>
      </c>
      <c r="C17" s="57" t="s">
        <v>22</v>
      </c>
      <c r="D17" s="28"/>
      <c r="E17" s="28"/>
    </row>
    <row r="18" spans="1:5" ht="12.75">
      <c r="A18" s="4" t="s">
        <v>62</v>
      </c>
      <c r="B18" s="30" t="e">
        <f>C18/#REF!</f>
        <v>#REF!</v>
      </c>
      <c r="C18" s="41">
        <v>0</v>
      </c>
      <c r="D18" s="28"/>
      <c r="E18" s="50" t="s">
        <v>335</v>
      </c>
    </row>
    <row r="19" spans="1:5" ht="12.75">
      <c r="A19" s="10" t="s">
        <v>294</v>
      </c>
      <c r="B19" s="30" t="e">
        <f>C19/#REF!</f>
        <v>#REF!</v>
      </c>
      <c r="C19" s="41">
        <f>8444.1-1652-294+22+15</f>
        <v>6535.1</v>
      </c>
      <c r="D19" s="28"/>
      <c r="E19" s="50" t="s">
        <v>334</v>
      </c>
    </row>
    <row r="20" spans="1:5" ht="12.75">
      <c r="A20" s="190" t="s">
        <v>327</v>
      </c>
      <c r="B20" s="191" t="e">
        <f>C20/#REF!</f>
        <v>#REF!</v>
      </c>
      <c r="C20" s="192">
        <f>'Sources and Uses of Funds Prede'!C20+1680+14000+40000+50000</f>
        <v>107680</v>
      </c>
      <c r="D20" s="28"/>
      <c r="E20" s="188" t="s">
        <v>337</v>
      </c>
    </row>
    <row r="21" spans="1:5" ht="12.75">
      <c r="A21" s="4" t="s">
        <v>41</v>
      </c>
      <c r="B21" s="30" t="e">
        <f>C21/#REF!</f>
        <v>#REF!</v>
      </c>
      <c r="C21" s="41">
        <f>'Construction Cost'!B36</f>
        <v>5653</v>
      </c>
      <c r="D21" s="50" t="s">
        <v>341</v>
      </c>
      <c r="E21" s="50" t="s">
        <v>336</v>
      </c>
    </row>
    <row r="22" spans="1:5" ht="12.75">
      <c r="A22" s="4" t="s">
        <v>105</v>
      </c>
      <c r="B22" s="30" t="e">
        <f>C22/#REF!</f>
        <v>#REF!</v>
      </c>
      <c r="C22" s="42">
        <f>Consultants!F11+Consultants!F13</f>
        <v>0</v>
      </c>
      <c r="D22" s="29"/>
      <c r="E22" s="174"/>
    </row>
    <row r="23" spans="1:5" ht="12.75">
      <c r="A23" s="10" t="s">
        <v>277</v>
      </c>
      <c r="B23" s="30" t="e">
        <f>C23/#REF!</f>
        <v>#REF!</v>
      </c>
      <c r="C23" s="42">
        <f>SUM(Consultants!C14:C19,Consultants!C26:C26,Consultants!D14:D19,Consultants!D26:D26)</f>
        <v>0</v>
      </c>
      <c r="D23" s="29"/>
      <c r="E23" s="174"/>
    </row>
    <row r="24" spans="1:5" ht="12.75">
      <c r="A24" s="10" t="s">
        <v>171</v>
      </c>
      <c r="B24" s="43" t="e">
        <f>C24/#REF!</f>
        <v>#REF!</v>
      </c>
      <c r="C24" s="42">
        <v>525</v>
      </c>
      <c r="D24" s="50"/>
      <c r="E24" s="28"/>
    </row>
    <row r="25" spans="1:5" ht="12.75">
      <c r="A25" s="10" t="s">
        <v>292</v>
      </c>
      <c r="B25" s="30" t="e">
        <f>C25/#REF!</f>
        <v>#REF!</v>
      </c>
      <c r="C25" s="41">
        <f>'Sources and Uses of Funds Prede'!C17+Consultants!D21</f>
        <v>0</v>
      </c>
      <c r="D25" s="28"/>
      <c r="E25" s="28"/>
    </row>
    <row r="26" spans="1:5" ht="12.75">
      <c r="A26" s="4" t="s">
        <v>30</v>
      </c>
      <c r="B26" s="30" t="e">
        <f>C26/#REF!</f>
        <v>#REF!</v>
      </c>
      <c r="C26" s="41">
        <f>D26*C21</f>
        <v>565.3000000000001</v>
      </c>
      <c r="D26" s="46">
        <v>0.1</v>
      </c>
      <c r="E26" s="28"/>
    </row>
    <row r="27" spans="1:5" ht="12.75">
      <c r="A27" s="4" t="s">
        <v>174</v>
      </c>
      <c r="B27" s="30" t="e">
        <f>C27/#REF!</f>
        <v>#REF!</v>
      </c>
      <c r="C27" s="41">
        <f>Consultants!D19</f>
        <v>0</v>
      </c>
      <c r="D27" s="29"/>
      <c r="E27" s="50" t="s">
        <v>344</v>
      </c>
    </row>
    <row r="28" spans="1:5" ht="12.75">
      <c r="A28" s="4" t="s">
        <v>75</v>
      </c>
      <c r="B28" s="30" t="e">
        <f>C28/#REF!</f>
        <v>#REF!</v>
      </c>
      <c r="C28" s="41">
        <v>0</v>
      </c>
      <c r="D28" s="29"/>
      <c r="E28" s="28"/>
    </row>
    <row r="29" spans="1:5" ht="12.75">
      <c r="A29" s="4" t="s">
        <v>76</v>
      </c>
      <c r="B29" s="30" t="e">
        <f>C29/#REF!</f>
        <v>#REF!</v>
      </c>
      <c r="C29" s="42">
        <v>4500</v>
      </c>
      <c r="D29" s="29">
        <v>0.03</v>
      </c>
      <c r="E29" s="50" t="s">
        <v>301</v>
      </c>
    </row>
    <row r="30" spans="1:5" ht="12.75">
      <c r="A30" s="4" t="s">
        <v>31</v>
      </c>
      <c r="B30" s="30" t="e">
        <f>C30/#REF!</f>
        <v>#REF!</v>
      </c>
      <c r="C30" s="41">
        <f>C10*0.02</f>
        <v>0</v>
      </c>
      <c r="D30" s="29">
        <v>0.02</v>
      </c>
      <c r="E30" s="28"/>
    </row>
    <row r="31" spans="1:5" ht="12.75">
      <c r="A31" s="4" t="s">
        <v>38</v>
      </c>
      <c r="B31" s="30" t="e">
        <f>C31/#REF!</f>
        <v>#REF!</v>
      </c>
      <c r="C31" s="41">
        <f>C10*7.5%*0.6/12*10</f>
        <v>0</v>
      </c>
      <c r="D31" s="29"/>
      <c r="E31" s="28"/>
    </row>
    <row r="32" spans="1:5" ht="12.75">
      <c r="A32" s="171" t="s">
        <v>284</v>
      </c>
      <c r="B32" s="166" t="e">
        <f>C32/#REF!</f>
        <v>#REF!</v>
      </c>
      <c r="C32" s="167">
        <f>1652+1652</f>
        <v>3304</v>
      </c>
      <c r="D32" s="29"/>
      <c r="E32" s="50" t="s">
        <v>345</v>
      </c>
    </row>
    <row r="33" spans="1:5" ht="12.75">
      <c r="A33" s="4" t="s">
        <v>39</v>
      </c>
      <c r="B33" s="30" t="e">
        <f>C33/#REF!</f>
        <v>#REF!</v>
      </c>
      <c r="C33" s="41">
        <f>6382+3000</f>
        <v>9382</v>
      </c>
      <c r="D33" s="29"/>
      <c r="E33" s="50" t="s">
        <v>302</v>
      </c>
    </row>
    <row r="34" spans="1:5" ht="12.75">
      <c r="A34" s="10" t="s">
        <v>179</v>
      </c>
      <c r="B34" s="30" t="e">
        <f>C34/#REF!</f>
        <v>#REF!</v>
      </c>
      <c r="C34" s="41">
        <v>15000</v>
      </c>
      <c r="D34" s="28"/>
      <c r="E34" s="28"/>
    </row>
    <row r="35" spans="1:5" ht="12.75">
      <c r="A35" s="10" t="s">
        <v>288</v>
      </c>
      <c r="B35" s="43" t="e">
        <f>C35/#REF!</f>
        <v>#REF!</v>
      </c>
      <c r="C35" s="42">
        <f>SUM('Sources and Uses of Funds Prede'!C21+10130.8+34622.13+551.91+580.94+392.5)</f>
        <v>48856.28</v>
      </c>
      <c r="D35" s="46"/>
      <c r="E35" s="50" t="s">
        <v>298</v>
      </c>
    </row>
    <row r="36" spans="1:5" ht="12.75">
      <c r="A36" s="4" t="s">
        <v>32</v>
      </c>
      <c r="B36" s="30" t="e">
        <f>C36/#REF!</f>
        <v>#REF!</v>
      </c>
      <c r="C36" s="41">
        <f>11000+3582+2865-341</f>
        <v>17106</v>
      </c>
      <c r="D36" s="28"/>
      <c r="E36" s="199" t="s">
        <v>349</v>
      </c>
    </row>
    <row r="37" spans="1:5" ht="12.75">
      <c r="A37" s="10" t="s">
        <v>285</v>
      </c>
      <c r="B37" s="30" t="e">
        <f>C37/#REF!</f>
        <v>#REF!</v>
      </c>
      <c r="C37" s="41">
        <f>8000+1500</f>
        <v>9500</v>
      </c>
      <c r="D37" s="28" t="s">
        <v>170</v>
      </c>
      <c r="E37" s="50" t="s">
        <v>303</v>
      </c>
    </row>
    <row r="38" spans="1:5" ht="12.75">
      <c r="A38" s="4" t="s">
        <v>34</v>
      </c>
      <c r="B38" s="43" t="e">
        <f>C38/#REF!</f>
        <v>#REF!</v>
      </c>
      <c r="C38" s="42">
        <f>84317-C35</f>
        <v>35460.72</v>
      </c>
      <c r="D38" s="28"/>
      <c r="E38" s="174" t="s">
        <v>122</v>
      </c>
    </row>
    <row r="39" spans="1:5" ht="12.75">
      <c r="A39" s="4" t="s">
        <v>64</v>
      </c>
      <c r="B39" s="30" t="e">
        <f>C39/#REF!</f>
        <v>#REF!</v>
      </c>
      <c r="C39" s="41">
        <v>20000</v>
      </c>
      <c r="D39" s="28"/>
      <c r="E39" s="28"/>
    </row>
    <row r="40" spans="1:5" ht="12.75">
      <c r="A40" s="168" t="s">
        <v>172</v>
      </c>
      <c r="B40" s="166" t="e">
        <f>C40/#REF!</f>
        <v>#REF!</v>
      </c>
      <c r="C40" s="169">
        <v>499</v>
      </c>
      <c r="D40" s="28"/>
      <c r="E40" s="28"/>
    </row>
    <row r="41" spans="1:5" ht="12.75">
      <c r="A41" s="170" t="s">
        <v>99</v>
      </c>
      <c r="B41" s="166" t="e">
        <f>C41/#REF!</f>
        <v>#REF!</v>
      </c>
      <c r="C41" s="169">
        <v>0</v>
      </c>
      <c r="D41" s="50"/>
      <c r="E41" s="200" t="s">
        <v>348</v>
      </c>
    </row>
    <row r="42" spans="1:5" ht="13.5" thickBot="1">
      <c r="A42" s="25" t="s">
        <v>35</v>
      </c>
      <c r="B42" s="31" t="e">
        <f>C42/#REF!</f>
        <v>#REF!</v>
      </c>
      <c r="C42" s="44">
        <f>SUM(C18:C41)</f>
        <v>284566.4</v>
      </c>
      <c r="D42" s="28"/>
      <c r="E42" s="28"/>
    </row>
    <row r="43" spans="2:5" ht="13.5" thickBot="1">
      <c r="B43" s="14"/>
      <c r="C43" s="14"/>
      <c r="D43" s="28"/>
      <c r="E43" s="28"/>
    </row>
    <row r="44" spans="1:5" ht="13.5" thickBot="1">
      <c r="A44" s="163" t="s">
        <v>100</v>
      </c>
      <c r="B44" s="164" t="e">
        <f>C44/#REF!</f>
        <v>#REF!</v>
      </c>
      <c r="C44" s="165">
        <f>C14-C42</f>
        <v>-284566.4</v>
      </c>
      <c r="D44" s="28"/>
      <c r="E44" s="28"/>
    </row>
  </sheetData>
  <sheetProtection/>
  <mergeCells count="1">
    <mergeCell ref="D12:D14"/>
  </mergeCells>
  <printOptions/>
  <pageMargins left="0.75" right="0.75" top="1" bottom="1" header="0.5" footer="0.5"/>
  <pageSetup fitToHeight="0" fitToWidth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SheetLayoutView="100" zoomScalePageLayoutView="0" workbookViewId="0" topLeftCell="A1">
      <selection activeCell="C20" sqref="C20"/>
    </sheetView>
  </sheetViews>
  <sheetFormatPr defaultColWidth="8.8515625" defaultRowHeight="12.75"/>
  <cols>
    <col min="1" max="1" width="40.7109375" style="214" customWidth="1"/>
    <col min="2" max="2" width="18.8515625" style="213" customWidth="1"/>
    <col min="3" max="3" width="11.7109375" style="250" customWidth="1"/>
    <col min="4" max="4" width="8.00390625" style="214" customWidth="1"/>
    <col min="5" max="5" width="12.140625" style="428" customWidth="1"/>
    <col min="6" max="6" width="11.7109375" style="214" customWidth="1"/>
    <col min="7" max="7" width="9.00390625" style="214" bestFit="1" customWidth="1"/>
    <col min="8" max="16384" width="8.8515625" style="214" customWidth="1"/>
  </cols>
  <sheetData>
    <row r="1" spans="1:2" ht="12.75">
      <c r="A1" s="211" t="str">
        <f>'Rents with Section 8'!A1</f>
        <v>Sutters Mill Court WITH SECTION 8</v>
      </c>
      <c r="B1" s="241"/>
    </row>
    <row r="2" spans="1:2" ht="12.75">
      <c r="A2" s="215">
        <f>'Rents with Section 8'!A2</f>
        <v>40975</v>
      </c>
      <c r="B2" s="309"/>
    </row>
    <row r="4" spans="1:2" ht="12.75">
      <c r="A4" s="211" t="s">
        <v>33</v>
      </c>
      <c r="B4" s="241"/>
    </row>
    <row r="5" ht="13.5" thickBot="1"/>
    <row r="6" spans="1:5" ht="13.5" thickBot="1">
      <c r="A6" s="321" t="s">
        <v>418</v>
      </c>
      <c r="B6" s="322" t="s">
        <v>393</v>
      </c>
      <c r="C6" s="323" t="s">
        <v>22</v>
      </c>
      <c r="E6" s="432"/>
    </row>
    <row r="7" spans="1:7" ht="13.5" thickBot="1">
      <c r="A7" s="328" t="s">
        <v>386</v>
      </c>
      <c r="B7" s="329">
        <f>C7/'Rents with Section 8'!B13</f>
        <v>198000</v>
      </c>
      <c r="C7" s="330">
        <v>990000</v>
      </c>
      <c r="D7" s="310"/>
      <c r="E7" s="432" t="s">
        <v>421</v>
      </c>
      <c r="G7" s="433">
        <v>990000</v>
      </c>
    </row>
    <row r="8" spans="1:5" ht="16.5" thickBot="1" thickTop="1">
      <c r="A8" s="301" t="s">
        <v>420</v>
      </c>
      <c r="B8" s="461">
        <f>C8/'Rents with Section 8'!B13</f>
        <v>198000</v>
      </c>
      <c r="C8" s="327">
        <f>SUM(C7:C7)</f>
        <v>990000</v>
      </c>
      <c r="D8" s="254"/>
      <c r="E8" s="432"/>
    </row>
    <row r="9" spans="1:5" ht="12.75">
      <c r="A9" s="211"/>
      <c r="B9" s="222"/>
      <c r="C9" s="311"/>
      <c r="D9" s="254"/>
      <c r="E9" s="432"/>
    </row>
    <row r="10" spans="4:5" ht="13.5" thickBot="1">
      <c r="D10" s="254"/>
      <c r="E10" s="432"/>
    </row>
    <row r="11" spans="1:5" ht="13.5" thickBot="1">
      <c r="A11" s="321" t="s">
        <v>419</v>
      </c>
      <c r="B11" s="322" t="s">
        <v>393</v>
      </c>
      <c r="C11" s="323" t="s">
        <v>22</v>
      </c>
      <c r="D11" s="254"/>
      <c r="E11" s="432"/>
    </row>
    <row r="12" spans="1:6" ht="12.75">
      <c r="A12" s="282" t="s">
        <v>62</v>
      </c>
      <c r="B12" s="219">
        <f>C12/'[1]Rents'!$B$12</f>
        <v>135800</v>
      </c>
      <c r="C12" s="312">
        <v>679000</v>
      </c>
      <c r="D12" s="254"/>
      <c r="E12" s="435">
        <v>40748</v>
      </c>
      <c r="F12" s="428" t="s">
        <v>434</v>
      </c>
    </row>
    <row r="13" spans="1:6" ht="12.75">
      <c r="A13" s="282" t="s">
        <v>396</v>
      </c>
      <c r="B13" s="219">
        <f>C13/'[1]Rents'!$B$12</f>
        <v>600</v>
      </c>
      <c r="C13" s="313">
        <v>3000</v>
      </c>
      <c r="D13" s="314"/>
      <c r="E13" s="432"/>
      <c r="F13" s="428"/>
    </row>
    <row r="14" spans="1:6" ht="12.75">
      <c r="A14" s="282" t="s">
        <v>395</v>
      </c>
      <c r="B14" s="219">
        <f>C14/'[1]Rents'!$B$12</f>
        <v>0</v>
      </c>
      <c r="C14" s="313">
        <v>0</v>
      </c>
      <c r="D14" s="254"/>
      <c r="E14" s="432"/>
      <c r="F14" s="428"/>
    </row>
    <row r="15" spans="1:6" ht="12.75">
      <c r="A15" s="282" t="s">
        <v>41</v>
      </c>
      <c r="B15" s="219">
        <f>C15/'[1]Rents'!$B$12</f>
        <v>12589</v>
      </c>
      <c r="C15" s="451">
        <f>'Construction Cost'!B71</f>
        <v>62945</v>
      </c>
      <c r="D15" s="254"/>
      <c r="E15" s="455">
        <v>40889</v>
      </c>
      <c r="F15" s="428" t="s">
        <v>478</v>
      </c>
    </row>
    <row r="16" spans="1:6" ht="12.75">
      <c r="A16" s="282" t="s">
        <v>123</v>
      </c>
      <c r="B16" s="219">
        <f>C16/'[1]Rents'!$B$12</f>
        <v>0</v>
      </c>
      <c r="C16" s="313">
        <v>0</v>
      </c>
      <c r="D16" s="314"/>
      <c r="E16" s="432"/>
      <c r="F16" s="428"/>
    </row>
    <row r="17" spans="1:6" ht="12.75">
      <c r="A17" s="282" t="s">
        <v>277</v>
      </c>
      <c r="B17" s="219">
        <f>C17/'[1]Rents'!$B$12</f>
        <v>0</v>
      </c>
      <c r="C17" s="313">
        <f>'[1]Sources and Uses of Funds Const'!C23</f>
        <v>0</v>
      </c>
      <c r="D17" s="314"/>
      <c r="E17" s="432"/>
      <c r="F17" s="428"/>
    </row>
    <row r="18" spans="1:6" ht="12.75">
      <c r="A18" s="282" t="s">
        <v>171</v>
      </c>
      <c r="B18" s="219">
        <f>C18/'[1]Rents'!$B$12</f>
        <v>0</v>
      </c>
      <c r="C18" s="313">
        <v>0</v>
      </c>
      <c r="D18" s="254"/>
      <c r="E18" s="432"/>
      <c r="F18" s="428"/>
    </row>
    <row r="19" spans="1:6" ht="12.75">
      <c r="A19" s="282" t="s">
        <v>394</v>
      </c>
      <c r="B19" s="219">
        <f>C19/'[1]Rents'!$B$12</f>
        <v>0</v>
      </c>
      <c r="C19" s="451">
        <v>0</v>
      </c>
      <c r="D19" s="254"/>
      <c r="E19" s="432"/>
      <c r="F19" s="428"/>
    </row>
    <row r="20" spans="1:6" ht="12.75">
      <c r="A20" s="282" t="s">
        <v>30</v>
      </c>
      <c r="B20" s="219">
        <f>C20/'[1]Rents'!$B$12</f>
        <v>1258.9</v>
      </c>
      <c r="C20" s="313">
        <f>D20*C15</f>
        <v>6294.5</v>
      </c>
      <c r="D20" s="314">
        <f>'Sources and Uses of Funds Const'!D26</f>
        <v>0.1</v>
      </c>
      <c r="E20" s="432"/>
      <c r="F20" s="428"/>
    </row>
    <row r="21" spans="1:6" ht="12.75">
      <c r="A21" s="282" t="s">
        <v>39</v>
      </c>
      <c r="B21" s="219">
        <f>C21/'[1]Rents'!$B$12</f>
        <v>400</v>
      </c>
      <c r="C21" s="313">
        <v>2000</v>
      </c>
      <c r="D21" s="254"/>
      <c r="E21" s="432" t="s">
        <v>397</v>
      </c>
      <c r="F21" s="428"/>
    </row>
    <row r="22" spans="1:6" ht="12.75">
      <c r="A22" s="282" t="s">
        <v>32</v>
      </c>
      <c r="B22" s="219">
        <f>C22/'[1]Rents'!$B$12</f>
        <v>300</v>
      </c>
      <c r="C22" s="451">
        <v>1500</v>
      </c>
      <c r="D22" s="254"/>
      <c r="E22" s="435">
        <v>40748</v>
      </c>
      <c r="F22" s="428" t="s">
        <v>435</v>
      </c>
    </row>
    <row r="23" spans="1:6" ht="12.75">
      <c r="A23" s="282" t="s">
        <v>398</v>
      </c>
      <c r="B23" s="219">
        <f>C23/'[1]Rents'!$B$12</f>
        <v>0</v>
      </c>
      <c r="C23" s="313">
        <v>0</v>
      </c>
      <c r="D23" s="314"/>
      <c r="E23" s="432"/>
      <c r="F23" s="428"/>
    </row>
    <row r="24" spans="1:6" ht="12.75">
      <c r="A24" s="282" t="s">
        <v>37</v>
      </c>
      <c r="B24" s="219">
        <f>C24/'[1]Rents'!$B$12</f>
        <v>0</v>
      </c>
      <c r="C24" s="451">
        <v>0</v>
      </c>
      <c r="D24" s="254"/>
      <c r="E24" s="432"/>
      <c r="F24" s="428"/>
    </row>
    <row r="25" spans="1:5" ht="12.75">
      <c r="A25" s="282" t="s">
        <v>142</v>
      </c>
      <c r="B25" s="219">
        <f>C25/'[1]Rents'!$B$12</f>
        <v>0</v>
      </c>
      <c r="C25" s="313">
        <v>0</v>
      </c>
      <c r="D25" s="254"/>
      <c r="E25" s="432"/>
    </row>
    <row r="26" spans="1:5" ht="12.75">
      <c r="A26" s="282" t="s">
        <v>99</v>
      </c>
      <c r="B26" s="219">
        <f>C26/'[1]Rents'!$B$12</f>
        <v>12000</v>
      </c>
      <c r="C26" s="313">
        <v>60000</v>
      </c>
      <c r="D26" s="254"/>
      <c r="E26" s="432" t="s">
        <v>388</v>
      </c>
    </row>
    <row r="27" spans="1:5" ht="13.5" thickBot="1">
      <c r="A27" s="324" t="s">
        <v>172</v>
      </c>
      <c r="B27" s="325">
        <f>C27/'[1]Rents'!$B$12</f>
        <v>757.3950000000001</v>
      </c>
      <c r="C27" s="326">
        <f>(C13+C15+C20+C21+C22)*0.05</f>
        <v>3786.9750000000004</v>
      </c>
      <c r="D27" s="254"/>
      <c r="E27" s="432"/>
    </row>
    <row r="28" spans="1:5" ht="16.5" thickBot="1" thickTop="1">
      <c r="A28" s="301" t="s">
        <v>25</v>
      </c>
      <c r="B28" s="302">
        <f>C28/'Rents with Section 8'!B13</f>
        <v>163705.29499999998</v>
      </c>
      <c r="C28" s="327">
        <f>SUM(C12:C27)</f>
        <v>818526.475</v>
      </c>
      <c r="D28" s="254"/>
      <c r="E28" s="432"/>
    </row>
    <row r="29" spans="2:5" ht="13.5" thickBot="1">
      <c r="B29" s="315"/>
      <c r="D29" s="316"/>
      <c r="E29" s="432"/>
    </row>
    <row r="30" spans="1:7" ht="13.5" thickBot="1">
      <c r="A30" s="317" t="s">
        <v>100</v>
      </c>
      <c r="B30" s="318">
        <f>C30/'Rents with Section 8'!B13</f>
        <v>34294.8</v>
      </c>
      <c r="C30" s="319">
        <f>ROUND(C8-C28,0)</f>
        <v>171474</v>
      </c>
      <c r="D30" s="254"/>
      <c r="E30" s="432" t="s">
        <v>429</v>
      </c>
      <c r="F30" s="221"/>
      <c r="G30" s="433"/>
    </row>
    <row r="31" spans="6:7" ht="12.75">
      <c r="F31" s="221"/>
      <c r="G31" s="428"/>
    </row>
    <row r="32" spans="5:7" ht="12.75">
      <c r="E32" s="432"/>
      <c r="F32" s="221"/>
      <c r="G32" s="433"/>
    </row>
  </sheetData>
  <sheetProtection/>
  <printOptions/>
  <pageMargins left="0.75" right="0.25" top="1" bottom="1" header="0.5" footer="0.5"/>
  <pageSetup fitToHeight="0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4"/>
  <sheetViews>
    <sheetView view="pageBreakPreview" zoomScaleSheetLayoutView="100" zoomScalePageLayoutView="0" workbookViewId="0" topLeftCell="A1">
      <selection activeCell="D14" sqref="D14"/>
    </sheetView>
  </sheetViews>
  <sheetFormatPr defaultColWidth="8.8515625" defaultRowHeight="12.75"/>
  <cols>
    <col min="1" max="1" width="40.7109375" style="0" customWidth="1"/>
    <col min="2" max="2" width="12.7109375" style="1" customWidth="1"/>
    <col min="3" max="3" width="12.7109375" style="14" customWidth="1"/>
    <col min="4" max="6" width="12.7109375" style="0" customWidth="1"/>
    <col min="7" max="7" width="2.7109375" style="0" customWidth="1"/>
    <col min="8" max="8" width="10.7109375" style="0" customWidth="1"/>
  </cols>
  <sheetData>
    <row r="1" spans="1:8" ht="12.75">
      <c r="A1" s="68" t="e">
        <f>#REF!</f>
        <v>#REF!</v>
      </c>
      <c r="B1" s="65"/>
      <c r="C1" s="66"/>
      <c r="D1" s="479" t="s">
        <v>283</v>
      </c>
      <c r="E1" s="479"/>
      <c r="F1" s="480"/>
      <c r="G1" s="480"/>
      <c r="H1" s="67">
        <v>2480</v>
      </c>
    </row>
    <row r="2" spans="1:8" ht="12.75">
      <c r="A2" s="132" t="e">
        <f>#REF!</f>
        <v>#REF!</v>
      </c>
      <c r="B2" s="65"/>
      <c r="C2" s="65"/>
      <c r="D2" s="65"/>
      <c r="E2" s="65"/>
      <c r="F2" s="65" t="s">
        <v>207</v>
      </c>
      <c r="G2" s="65"/>
      <c r="H2" s="66">
        <v>5</v>
      </c>
    </row>
    <row r="3" spans="1:8" ht="17.25" customHeight="1" thickBot="1">
      <c r="A3" s="65"/>
      <c r="B3" s="65"/>
      <c r="C3" s="481" t="s">
        <v>208</v>
      </c>
      <c r="D3" s="481"/>
      <c r="E3" s="481"/>
      <c r="F3" s="481"/>
      <c r="G3" s="69"/>
      <c r="H3" s="65"/>
    </row>
    <row r="4" spans="1:8" ht="12.75" customHeight="1">
      <c r="A4" s="6" t="s">
        <v>296</v>
      </c>
      <c r="B4" s="482" t="s">
        <v>209</v>
      </c>
      <c r="C4" s="484" t="s">
        <v>210</v>
      </c>
      <c r="D4" s="478" t="s">
        <v>299</v>
      </c>
      <c r="E4" s="478" t="s">
        <v>300</v>
      </c>
      <c r="F4" s="485" t="s">
        <v>158</v>
      </c>
      <c r="G4" s="70"/>
      <c r="H4" s="474" t="s">
        <v>211</v>
      </c>
    </row>
    <row r="5" spans="1:8" ht="12.75" customHeight="1">
      <c r="A5" s="71"/>
      <c r="B5" s="483"/>
      <c r="C5" s="484"/>
      <c r="D5" s="478"/>
      <c r="E5" s="478"/>
      <c r="F5" s="485"/>
      <c r="G5" s="70"/>
      <c r="H5" s="474"/>
    </row>
    <row r="6" spans="1:8" ht="12.75" customHeight="1">
      <c r="A6" s="71" t="s">
        <v>212</v>
      </c>
      <c r="B6" s="138"/>
      <c r="C6" s="139"/>
      <c r="D6" s="136"/>
      <c r="E6" s="136"/>
      <c r="F6" s="158"/>
      <c r="G6" s="70"/>
      <c r="H6" s="137"/>
    </row>
    <row r="7" spans="1:8" ht="12.75">
      <c r="A7" s="72" t="s">
        <v>213</v>
      </c>
      <c r="B7" s="73">
        <f>'Sources and Uses of Funds Const'!C18</f>
        <v>0</v>
      </c>
      <c r="C7" s="74"/>
      <c r="D7" s="75">
        <f>B7</f>
        <v>0</v>
      </c>
      <c r="E7" s="75"/>
      <c r="F7" s="77"/>
      <c r="G7" s="78"/>
      <c r="H7" s="79">
        <f>B7-SUM(C7:F7)</f>
        <v>0</v>
      </c>
    </row>
    <row r="8" spans="1:8" ht="12.75">
      <c r="A8" s="80" t="s">
        <v>180</v>
      </c>
      <c r="B8" s="81">
        <v>0</v>
      </c>
      <c r="C8" s="82"/>
      <c r="D8" s="83"/>
      <c r="E8" s="83"/>
      <c r="F8" s="85"/>
      <c r="G8" s="86"/>
      <c r="H8" s="87">
        <f>B8-SUM(C8:F8)</f>
        <v>0</v>
      </c>
    </row>
    <row r="9" spans="1:8" ht="12.75">
      <c r="A9" s="80" t="s">
        <v>214</v>
      </c>
      <c r="B9" s="81">
        <f>'Sources and Uses of Funds Const'!C19+8000+1652</f>
        <v>16187.1</v>
      </c>
      <c r="C9" s="82"/>
      <c r="D9" s="83">
        <f>B9</f>
        <v>16187.1</v>
      </c>
      <c r="E9" s="83"/>
      <c r="F9" s="85"/>
      <c r="G9" s="86"/>
      <c r="H9" s="87">
        <f>B9-SUM(C9:F9)</f>
        <v>0</v>
      </c>
    </row>
    <row r="10" spans="1:8" ht="12.75">
      <c r="A10" s="88" t="s">
        <v>215</v>
      </c>
      <c r="B10" s="89">
        <f>SUM(B7:B9)</f>
        <v>16187.1</v>
      </c>
      <c r="C10" s="90">
        <f>SUM(C7:C9)</f>
        <v>0</v>
      </c>
      <c r="D10" s="175">
        <f>SUM(D7:D9)</f>
        <v>16187.1</v>
      </c>
      <c r="E10" s="175">
        <f>SUM(E7:E9)</f>
        <v>0</v>
      </c>
      <c r="F10" s="92">
        <f>SUM(F7:F9)</f>
        <v>0</v>
      </c>
      <c r="G10" s="93"/>
      <c r="H10" s="94"/>
    </row>
    <row r="11" spans="1:8" ht="12.75">
      <c r="A11" s="65"/>
      <c r="B11" s="81"/>
      <c r="C11" s="82"/>
      <c r="D11" s="84"/>
      <c r="E11" s="84"/>
      <c r="F11" s="85"/>
      <c r="G11" s="95"/>
      <c r="H11" s="96"/>
    </row>
    <row r="12" spans="1:8" ht="12.75">
      <c r="A12" s="71" t="s">
        <v>216</v>
      </c>
      <c r="B12" s="97"/>
      <c r="C12" s="98"/>
      <c r="D12" s="99"/>
      <c r="E12" s="99"/>
      <c r="F12" s="100"/>
      <c r="G12" s="95"/>
      <c r="H12" s="96"/>
    </row>
    <row r="13" spans="1:8" ht="12.75">
      <c r="A13" s="72" t="s">
        <v>217</v>
      </c>
      <c r="B13" s="73">
        <v>0</v>
      </c>
      <c r="C13" s="74"/>
      <c r="D13" s="76"/>
      <c r="E13" s="76"/>
      <c r="F13" s="77"/>
      <c r="G13" s="78"/>
      <c r="H13" s="79">
        <f>B13-SUM(C13:F13)</f>
        <v>0</v>
      </c>
    </row>
    <row r="14" spans="1:8" ht="12.75">
      <c r="A14" s="80" t="s">
        <v>218</v>
      </c>
      <c r="B14" s="81">
        <v>0</v>
      </c>
      <c r="C14" s="82"/>
      <c r="D14" s="84"/>
      <c r="E14" s="84"/>
      <c r="F14" s="85"/>
      <c r="G14" s="86"/>
      <c r="H14" s="87">
        <f>B14-SUM(C14:F14)</f>
        <v>0</v>
      </c>
    </row>
    <row r="15" spans="1:8" ht="12.75">
      <c r="A15" s="88" t="s">
        <v>219</v>
      </c>
      <c r="B15" s="89">
        <f>SUM(B13:B14)</f>
        <v>0</v>
      </c>
      <c r="C15" s="90">
        <f>SUM(C13:C14)</f>
        <v>0</v>
      </c>
      <c r="D15" s="91">
        <f>SUM(D13:D14)</f>
        <v>0</v>
      </c>
      <c r="E15" s="91">
        <f>SUM(E13:E14)</f>
        <v>0</v>
      </c>
      <c r="F15" s="92">
        <f>SUM(F13:F14)</f>
        <v>0</v>
      </c>
      <c r="G15" s="93"/>
      <c r="H15" s="94"/>
    </row>
    <row r="16" spans="1:8" ht="12.75">
      <c r="A16" s="65"/>
      <c r="B16" s="81"/>
      <c r="C16" s="82"/>
      <c r="D16" s="84"/>
      <c r="E16" s="84"/>
      <c r="F16" s="85"/>
      <c r="G16" s="95"/>
      <c r="H16" s="96"/>
    </row>
    <row r="17" spans="1:8" ht="12.75">
      <c r="A17" s="71" t="s">
        <v>220</v>
      </c>
      <c r="B17" s="97"/>
      <c r="C17" s="98"/>
      <c r="D17" s="99"/>
      <c r="E17" s="99"/>
      <c r="F17" s="100"/>
      <c r="G17" s="95"/>
      <c r="H17" s="96"/>
    </row>
    <row r="18" spans="1:8" ht="12.75">
      <c r="A18" s="72" t="s">
        <v>181</v>
      </c>
      <c r="B18" s="73">
        <v>0</v>
      </c>
      <c r="C18" s="74"/>
      <c r="D18" s="76"/>
      <c r="E18" s="76"/>
      <c r="F18" s="77"/>
      <c r="G18" s="78"/>
      <c r="H18" s="79">
        <f aca="true" t="shared" si="0" ref="H18:H27">B18-SUM(C18:F18)</f>
        <v>0</v>
      </c>
    </row>
    <row r="19" spans="1:8" ht="12.75">
      <c r="A19" s="80" t="s">
        <v>182</v>
      </c>
      <c r="B19" s="81">
        <f>'Construction Cost'!B8+'Construction Cost'!B35</f>
        <v>820</v>
      </c>
      <c r="C19" s="82">
        <v>205000</v>
      </c>
      <c r="D19" s="84"/>
      <c r="E19" s="84"/>
      <c r="F19" s="85">
        <v>2356</v>
      </c>
      <c r="G19" s="86"/>
      <c r="H19" s="87">
        <f t="shared" si="0"/>
        <v>-206536</v>
      </c>
    </row>
    <row r="20" spans="1:8" ht="12.75">
      <c r="A20" s="101" t="s">
        <v>221</v>
      </c>
      <c r="B20" s="102">
        <f>SUM('Construction Cost'!B7+'Construction Cost'!B9+'Construction Cost'!B10+'Construction Cost'!B11+'Construction Cost'!B12+'Construction Cost'!B13+'Construction Cost'!B14+'Construction Cost'!B15+'Construction Cost'!B16+'Construction Cost'!B17+'Construction Cost'!B18+'Construction Cost'!B19)</f>
        <v>4833</v>
      </c>
      <c r="C20" s="103">
        <v>1090000</v>
      </c>
      <c r="D20" s="104">
        <v>32625</v>
      </c>
      <c r="E20" s="104"/>
      <c r="F20" s="105">
        <v>1326</v>
      </c>
      <c r="G20" s="106"/>
      <c r="H20" s="107">
        <f t="shared" si="0"/>
        <v>-1119118</v>
      </c>
    </row>
    <row r="21" spans="1:8" ht="12.75">
      <c r="A21" s="108" t="s">
        <v>42</v>
      </c>
      <c r="B21" s="109">
        <f>'Construction Cost'!B25</f>
        <v>0</v>
      </c>
      <c r="C21" s="110"/>
      <c r="D21" s="172">
        <v>5650</v>
      </c>
      <c r="E21" s="172">
        <v>140000</v>
      </c>
      <c r="F21" s="112"/>
      <c r="G21" s="113"/>
      <c r="H21" s="114">
        <f t="shared" si="0"/>
        <v>-145650</v>
      </c>
    </row>
    <row r="22" spans="1:8" ht="12.75">
      <c r="A22" s="80" t="s">
        <v>183</v>
      </c>
      <c r="B22" s="81">
        <f>'Construction Cost'!$B$28/2</f>
        <v>0</v>
      </c>
      <c r="C22" s="82"/>
      <c r="D22" s="83">
        <f>B22</f>
        <v>0</v>
      </c>
      <c r="E22" s="83"/>
      <c r="F22" s="85"/>
      <c r="G22" s="86"/>
      <c r="H22" s="87">
        <f t="shared" si="0"/>
        <v>0</v>
      </c>
    </row>
    <row r="23" spans="1:8" ht="12.75">
      <c r="A23" s="101" t="s">
        <v>184</v>
      </c>
      <c r="B23" s="81">
        <f>'Construction Cost'!$B$28/2</f>
        <v>0</v>
      </c>
      <c r="C23" s="103"/>
      <c r="D23" s="173">
        <f>B23</f>
        <v>0</v>
      </c>
      <c r="E23" s="173"/>
      <c r="F23" s="105"/>
      <c r="G23" s="106"/>
      <c r="H23" s="107">
        <f t="shared" si="0"/>
        <v>0</v>
      </c>
    </row>
    <row r="24" spans="1:8" ht="12.75">
      <c r="A24" s="108" t="s">
        <v>222</v>
      </c>
      <c r="B24" s="109">
        <v>0</v>
      </c>
      <c r="C24" s="110"/>
      <c r="D24" s="172"/>
      <c r="E24" s="172"/>
      <c r="F24" s="112"/>
      <c r="G24" s="113"/>
      <c r="H24" s="114">
        <f t="shared" si="0"/>
        <v>0</v>
      </c>
    </row>
    <row r="25" spans="1:8" ht="12.75">
      <c r="A25" s="80" t="s">
        <v>223</v>
      </c>
      <c r="B25" s="81">
        <f>'Construction Cost'!B31</f>
        <v>0</v>
      </c>
      <c r="C25" s="82"/>
      <c r="D25" s="83">
        <f>B25</f>
        <v>0</v>
      </c>
      <c r="E25" s="83"/>
      <c r="F25" s="85"/>
      <c r="G25" s="86"/>
      <c r="H25" s="87">
        <f t="shared" si="0"/>
        <v>0</v>
      </c>
    </row>
    <row r="26" spans="1:8" ht="12.75">
      <c r="A26" s="101" t="s">
        <v>224</v>
      </c>
      <c r="B26" s="102">
        <f>'Construction Cost'!B22+'Sources and Uses of Funds Const'!C26</f>
        <v>565.3000000000001</v>
      </c>
      <c r="C26" s="103">
        <v>85000</v>
      </c>
      <c r="D26" s="104">
        <f>B26-C26-E26</f>
        <v>-179434.7</v>
      </c>
      <c r="E26" s="104">
        <v>95000</v>
      </c>
      <c r="F26" s="105"/>
      <c r="G26" s="106"/>
      <c r="H26" s="107">
        <f t="shared" si="0"/>
        <v>1.1709744285326451E-11</v>
      </c>
    </row>
    <row r="27" spans="1:8" ht="12.75">
      <c r="A27" s="108" t="s">
        <v>172</v>
      </c>
      <c r="B27" s="109">
        <f>'Sources and Uses of Funds Const'!C40</f>
        <v>499</v>
      </c>
      <c r="C27" s="110"/>
      <c r="D27" s="172"/>
      <c r="E27" s="172"/>
      <c r="F27" s="112">
        <v>499</v>
      </c>
      <c r="G27" s="113"/>
      <c r="H27" s="114">
        <f t="shared" si="0"/>
        <v>0</v>
      </c>
    </row>
    <row r="28" spans="1:8" ht="12.75">
      <c r="A28" s="88" t="s">
        <v>225</v>
      </c>
      <c r="B28" s="89">
        <f>SUM(B18:B27)</f>
        <v>6717.3</v>
      </c>
      <c r="C28" s="90">
        <f>SUM(C18:C27)</f>
        <v>1380000</v>
      </c>
      <c r="D28" s="91">
        <f>SUM(D18:D27)</f>
        <v>-141159.7</v>
      </c>
      <c r="E28" s="91">
        <f>SUM(E18:E27)</f>
        <v>235000</v>
      </c>
      <c r="F28" s="92">
        <f>SUM(F18:F27)</f>
        <v>4181</v>
      </c>
      <c r="G28" s="93"/>
      <c r="H28" s="94"/>
    </row>
    <row r="29" spans="1:8" ht="12.75">
      <c r="A29" s="65"/>
      <c r="B29" s="81"/>
      <c r="C29" s="82"/>
      <c r="D29" s="84"/>
      <c r="E29" s="84"/>
      <c r="F29" s="85"/>
      <c r="G29" s="95"/>
      <c r="H29" s="96"/>
    </row>
    <row r="30" spans="1:8" ht="12.75">
      <c r="A30" s="71" t="s">
        <v>226</v>
      </c>
      <c r="B30" s="97"/>
      <c r="C30" s="98"/>
      <c r="D30" s="99"/>
      <c r="E30" s="99"/>
      <c r="F30" s="100"/>
      <c r="G30" s="95"/>
      <c r="H30" s="96"/>
    </row>
    <row r="31" spans="1:8" ht="12.75">
      <c r="A31" s="72" t="s">
        <v>38</v>
      </c>
      <c r="B31" s="73" t="e">
        <f>'Sources and Uses of Funds Perm'!#REF!</f>
        <v>#REF!</v>
      </c>
      <c r="C31" s="74"/>
      <c r="D31" s="76"/>
      <c r="E31" s="76"/>
      <c r="F31" s="77"/>
      <c r="G31" s="78"/>
      <c r="H31" s="79" t="e">
        <f aca="true" t="shared" si="1" ref="H31:H39">B31-SUM(C31:F31)</f>
        <v>#REF!</v>
      </c>
    </row>
    <row r="32" spans="1:8" ht="12.75">
      <c r="A32" s="80" t="s">
        <v>185</v>
      </c>
      <c r="B32" s="81" t="e">
        <f>'Sources and Uses of Funds Perm'!#REF!</f>
        <v>#REF!</v>
      </c>
      <c r="C32" s="82"/>
      <c r="D32" s="84"/>
      <c r="E32" s="84"/>
      <c r="F32" s="85"/>
      <c r="G32" s="86"/>
      <c r="H32" s="87" t="e">
        <f t="shared" si="1"/>
        <v>#REF!</v>
      </c>
    </row>
    <row r="33" spans="1:8" ht="12.75">
      <c r="A33" s="101" t="s">
        <v>227</v>
      </c>
      <c r="B33" s="102">
        <v>0</v>
      </c>
      <c r="C33" s="103"/>
      <c r="D33" s="104"/>
      <c r="E33" s="104"/>
      <c r="F33" s="105"/>
      <c r="G33" s="106"/>
      <c r="H33" s="107">
        <f t="shared" si="1"/>
        <v>0</v>
      </c>
    </row>
    <row r="34" spans="1:8" ht="12.75">
      <c r="A34" s="108" t="s">
        <v>228</v>
      </c>
      <c r="B34" s="109">
        <v>0</v>
      </c>
      <c r="C34" s="110"/>
      <c r="D34" s="111"/>
      <c r="E34" s="111"/>
      <c r="F34" s="112"/>
      <c r="G34" s="113"/>
      <c r="H34" s="114">
        <f t="shared" si="1"/>
        <v>0</v>
      </c>
    </row>
    <row r="35" spans="1:8" ht="12.75">
      <c r="A35" s="80" t="s">
        <v>186</v>
      </c>
      <c r="B35" s="81">
        <v>0</v>
      </c>
      <c r="C35" s="82"/>
      <c r="D35" s="84"/>
      <c r="E35" s="84"/>
      <c r="F35" s="85"/>
      <c r="G35" s="86"/>
      <c r="H35" s="87">
        <f t="shared" si="1"/>
        <v>0</v>
      </c>
    </row>
    <row r="36" spans="1:8" ht="12.75">
      <c r="A36" s="101" t="s">
        <v>229</v>
      </c>
      <c r="B36" s="102">
        <v>3000</v>
      </c>
      <c r="C36" s="103"/>
      <c r="D36" s="104">
        <f>B36</f>
        <v>3000</v>
      </c>
      <c r="E36" s="104"/>
      <c r="F36" s="105"/>
      <c r="G36" s="106"/>
      <c r="H36" s="107">
        <f t="shared" si="1"/>
        <v>0</v>
      </c>
    </row>
    <row r="37" spans="1:8" ht="12.75">
      <c r="A37" s="108" t="s">
        <v>187</v>
      </c>
      <c r="B37" s="109">
        <v>6382</v>
      </c>
      <c r="C37" s="110"/>
      <c r="D37" s="111">
        <f>B37</f>
        <v>6382</v>
      </c>
      <c r="E37" s="111"/>
      <c r="F37" s="112"/>
      <c r="G37" s="113"/>
      <c r="H37" s="114">
        <f t="shared" si="1"/>
        <v>0</v>
      </c>
    </row>
    <row r="38" spans="1:8" ht="12.75">
      <c r="A38" s="80" t="s">
        <v>230</v>
      </c>
      <c r="B38" s="81">
        <v>0</v>
      </c>
      <c r="C38" s="82"/>
      <c r="D38" s="84"/>
      <c r="E38" s="84"/>
      <c r="F38" s="85"/>
      <c r="G38" s="86"/>
      <c r="H38" s="87">
        <f t="shared" si="1"/>
        <v>0</v>
      </c>
    </row>
    <row r="39" spans="1:8" ht="12.75">
      <c r="A39" s="80" t="s">
        <v>231</v>
      </c>
      <c r="B39" s="81">
        <f>'Sources and Uses of Funds Const'!C29</f>
        <v>4500</v>
      </c>
      <c r="C39" s="82"/>
      <c r="D39" s="84">
        <f>B39</f>
        <v>4500</v>
      </c>
      <c r="E39" s="84"/>
      <c r="F39" s="85"/>
      <c r="G39" s="86"/>
      <c r="H39" s="87">
        <f t="shared" si="1"/>
        <v>0</v>
      </c>
    </row>
    <row r="40" spans="1:8" ht="12.75">
      <c r="A40" s="88" t="s">
        <v>232</v>
      </c>
      <c r="B40" s="89" t="e">
        <f>SUM(B31:B39)</f>
        <v>#REF!</v>
      </c>
      <c r="C40" s="90">
        <f>SUM(C31:C39)</f>
        <v>0</v>
      </c>
      <c r="D40" s="91">
        <f>SUM(D31:D39)</f>
        <v>13882</v>
      </c>
      <c r="E40" s="91">
        <f>SUM(E31:E39)</f>
        <v>0</v>
      </c>
      <c r="F40" s="92">
        <f>SUM(F31:F39)</f>
        <v>0</v>
      </c>
      <c r="G40" s="93"/>
      <c r="H40" s="94"/>
    </row>
    <row r="41" spans="1:8" ht="12.75">
      <c r="A41" s="96"/>
      <c r="B41" s="81"/>
      <c r="C41" s="82"/>
      <c r="D41" s="115"/>
      <c r="E41" s="115"/>
      <c r="F41" s="85"/>
      <c r="G41" s="95"/>
      <c r="H41" s="96"/>
    </row>
    <row r="42" spans="1:8" ht="12.75">
      <c r="A42" s="71" t="s">
        <v>233</v>
      </c>
      <c r="B42" s="97"/>
      <c r="C42" s="98"/>
      <c r="D42" s="99"/>
      <c r="E42" s="99"/>
      <c r="F42" s="100"/>
      <c r="G42" s="116"/>
      <c r="H42" s="117"/>
    </row>
    <row r="43" spans="1:8" ht="12.75">
      <c r="A43" s="80" t="s">
        <v>234</v>
      </c>
      <c r="B43" s="81">
        <v>0</v>
      </c>
      <c r="C43" s="82"/>
      <c r="D43" s="84"/>
      <c r="E43" s="84"/>
      <c r="F43" s="85"/>
      <c r="G43" s="86"/>
      <c r="H43" s="87">
        <f aca="true" t="shared" si="2" ref="H43:H48">B43-SUM(C43:F43)</f>
        <v>0</v>
      </c>
    </row>
    <row r="44" spans="1:8" ht="12.75">
      <c r="A44" s="80" t="s">
        <v>157</v>
      </c>
      <c r="B44" s="81">
        <f>'Sources and Uses of Funds Const'!C32-1652</f>
        <v>1652</v>
      </c>
      <c r="C44" s="82"/>
      <c r="D44" s="115">
        <f>B44</f>
        <v>1652</v>
      </c>
      <c r="E44" s="115"/>
      <c r="F44" s="85"/>
      <c r="G44" s="86"/>
      <c r="H44" s="87">
        <f t="shared" si="2"/>
        <v>0</v>
      </c>
    </row>
    <row r="45" spans="1:8" ht="12.75">
      <c r="A45" s="101" t="s">
        <v>235</v>
      </c>
      <c r="B45" s="102">
        <v>0</v>
      </c>
      <c r="C45" s="103"/>
      <c r="D45" s="104"/>
      <c r="E45" s="104"/>
      <c r="F45" s="105"/>
      <c r="G45" s="106"/>
      <c r="H45" s="107">
        <f t="shared" si="2"/>
        <v>0</v>
      </c>
    </row>
    <row r="46" spans="1:8" ht="12.75">
      <c r="A46" s="108" t="s">
        <v>279</v>
      </c>
      <c r="B46" s="109">
        <v>0</v>
      </c>
      <c r="C46" s="110"/>
      <c r="D46" s="111"/>
      <c r="E46" s="111"/>
      <c r="F46" s="112"/>
      <c r="G46" s="113"/>
      <c r="H46" s="114">
        <f t="shared" si="2"/>
        <v>0</v>
      </c>
    </row>
    <row r="47" spans="1:8" ht="12.75">
      <c r="A47" s="162" t="s">
        <v>188</v>
      </c>
      <c r="B47" s="81">
        <v>0</v>
      </c>
      <c r="C47" s="82"/>
      <c r="D47" s="115"/>
      <c r="E47" s="115"/>
      <c r="F47" s="85"/>
      <c r="G47" s="86"/>
      <c r="H47" s="87">
        <f t="shared" si="2"/>
        <v>0</v>
      </c>
    </row>
    <row r="48" spans="1:8" ht="12.75">
      <c r="A48" s="80" t="s">
        <v>189</v>
      </c>
      <c r="B48" s="81">
        <v>0</v>
      </c>
      <c r="C48" s="82"/>
      <c r="D48" s="84"/>
      <c r="E48" s="84"/>
      <c r="F48" s="85"/>
      <c r="G48" s="86"/>
      <c r="H48" s="87">
        <f t="shared" si="2"/>
        <v>0</v>
      </c>
    </row>
    <row r="49" spans="1:8" ht="12.75">
      <c r="A49" s="88" t="s">
        <v>236</v>
      </c>
      <c r="B49" s="89">
        <f>SUM(B43:B48)</f>
        <v>1652</v>
      </c>
      <c r="C49" s="90">
        <f>SUM(C43:C48)</f>
        <v>0</v>
      </c>
      <c r="D49" s="91">
        <f>SUM(D43:D48)</f>
        <v>1652</v>
      </c>
      <c r="E49" s="91">
        <f>SUM(E43:E48)</f>
        <v>0</v>
      </c>
      <c r="F49" s="92">
        <f>SUM(F43:F48)</f>
        <v>0</v>
      </c>
      <c r="G49" s="93"/>
      <c r="H49" s="94"/>
    </row>
    <row r="50" spans="1:8" ht="12.75">
      <c r="A50" s="96"/>
      <c r="B50" s="81"/>
      <c r="C50" s="82"/>
      <c r="D50" s="115"/>
      <c r="E50" s="115"/>
      <c r="F50" s="85"/>
      <c r="G50" s="95"/>
      <c r="H50" s="96"/>
    </row>
    <row r="51" spans="1:8" ht="12.75">
      <c r="A51" s="71" t="s">
        <v>237</v>
      </c>
      <c r="B51" s="97"/>
      <c r="C51" s="98"/>
      <c r="D51" s="99"/>
      <c r="E51" s="99"/>
      <c r="F51" s="100"/>
      <c r="G51" s="116"/>
      <c r="H51" s="117"/>
    </row>
    <row r="52" spans="1:8" ht="12.75">
      <c r="A52" s="80" t="s">
        <v>238</v>
      </c>
      <c r="B52" s="81">
        <f>Consultants!C11+Consultants!C13</f>
        <v>0</v>
      </c>
      <c r="C52" s="82"/>
      <c r="D52" s="111">
        <f>B52</f>
        <v>0</v>
      </c>
      <c r="E52" s="115"/>
      <c r="F52" s="85"/>
      <c r="G52" s="86"/>
      <c r="H52" s="87">
        <f>B52-SUM(C52:F52)</f>
        <v>0</v>
      </c>
    </row>
    <row r="53" spans="1:8" ht="12.75">
      <c r="A53" s="80" t="s">
        <v>281</v>
      </c>
      <c r="B53" s="81">
        <f>Consultants!D11+Consultants!D13</f>
        <v>0</v>
      </c>
      <c r="C53" s="82"/>
      <c r="D53" s="115">
        <f>B53-F53</f>
        <v>-5819</v>
      </c>
      <c r="E53" s="115"/>
      <c r="F53" s="85">
        <v>5819</v>
      </c>
      <c r="G53" s="86"/>
      <c r="H53" s="87">
        <f>B53-SUM(C53:F53)</f>
        <v>0</v>
      </c>
    </row>
    <row r="54" spans="1:8" ht="12.75">
      <c r="A54" s="101" t="s">
        <v>239</v>
      </c>
      <c r="B54" s="102" t="e">
        <f>'Sources and Uses of Funds Const'!C23+'Sources and Uses of Funds Const'!#REF!</f>
        <v>#REF!</v>
      </c>
      <c r="C54" s="103"/>
      <c r="D54" s="84" t="e">
        <f>B54-F54</f>
        <v>#REF!</v>
      </c>
      <c r="E54" s="84"/>
      <c r="F54" s="105">
        <v>25400</v>
      </c>
      <c r="G54" s="106"/>
      <c r="H54" s="107" t="e">
        <f>B54-SUM(C54:F54)</f>
        <v>#REF!</v>
      </c>
    </row>
    <row r="55" spans="1:8" ht="12.75">
      <c r="A55" s="108" t="s">
        <v>240</v>
      </c>
      <c r="B55" s="109">
        <f>'Sources and Uses of Funds Const'!C24</f>
        <v>525</v>
      </c>
      <c r="C55" s="110"/>
      <c r="D55" s="111"/>
      <c r="E55" s="111"/>
      <c r="F55" s="112">
        <f>B55</f>
        <v>525</v>
      </c>
      <c r="G55" s="113"/>
      <c r="H55" s="114">
        <f>B55-SUM(C55:F55)</f>
        <v>0</v>
      </c>
    </row>
    <row r="56" spans="1:8" ht="12.75">
      <c r="A56" s="88" t="s">
        <v>241</v>
      </c>
      <c r="B56" s="89" t="e">
        <f>SUM(B52:B55)</f>
        <v>#REF!</v>
      </c>
      <c r="C56" s="90">
        <f>SUM(C52:C55)</f>
        <v>0</v>
      </c>
      <c r="D56" s="91" t="e">
        <f>SUM(D52:D55)</f>
        <v>#REF!</v>
      </c>
      <c r="E56" s="91">
        <f>SUM(E52:E55)</f>
        <v>0</v>
      </c>
      <c r="F56" s="92">
        <f>SUM(F52:F55)</f>
        <v>31744</v>
      </c>
      <c r="G56" s="93"/>
      <c r="H56" s="94"/>
    </row>
    <row r="57" spans="1:8" ht="12.75">
      <c r="A57" s="96"/>
      <c r="B57" s="81"/>
      <c r="C57" s="82"/>
      <c r="D57" s="115"/>
      <c r="E57" s="115"/>
      <c r="F57" s="85"/>
      <c r="G57" s="95"/>
      <c r="H57" s="96"/>
    </row>
    <row r="58" spans="1:8" ht="12.75">
      <c r="A58" s="71" t="s">
        <v>242</v>
      </c>
      <c r="B58" s="97"/>
      <c r="C58" s="98"/>
      <c r="D58" s="99"/>
      <c r="E58" s="99"/>
      <c r="F58" s="100"/>
      <c r="G58" s="116"/>
      <c r="H58" s="117"/>
    </row>
    <row r="59" spans="1:8" ht="12.75">
      <c r="A59" s="80" t="s">
        <v>286</v>
      </c>
      <c r="B59" s="81">
        <f>'Sources and Uses of Funds Const'!C37-8000</f>
        <v>1500</v>
      </c>
      <c r="C59" s="82"/>
      <c r="D59" s="84">
        <f>B59</f>
        <v>1500</v>
      </c>
      <c r="E59" s="84"/>
      <c r="F59" s="85"/>
      <c r="G59" s="86"/>
      <c r="H59" s="87">
        <f>B59-SUM(C59:F59)</f>
        <v>0</v>
      </c>
    </row>
    <row r="60" spans="1:8" ht="12.75">
      <c r="A60" s="80" t="s">
        <v>190</v>
      </c>
      <c r="B60" s="81">
        <v>0</v>
      </c>
      <c r="C60" s="82"/>
      <c r="D60" s="84"/>
      <c r="E60" s="84"/>
      <c r="F60" s="85"/>
      <c r="G60" s="86"/>
      <c r="H60" s="87">
        <f>B60-SUM(C60:F60)</f>
        <v>0</v>
      </c>
    </row>
    <row r="61" spans="1:8" ht="12.75">
      <c r="A61" s="101" t="s">
        <v>191</v>
      </c>
      <c r="B61" s="102">
        <v>0</v>
      </c>
      <c r="C61" s="103"/>
      <c r="D61" s="104"/>
      <c r="E61" s="104"/>
      <c r="F61" s="105"/>
      <c r="G61" s="106"/>
      <c r="H61" s="107">
        <f>B61-SUM(C61:F61)</f>
        <v>0</v>
      </c>
    </row>
    <row r="62" spans="1:8" ht="12.75">
      <c r="A62" s="108" t="s">
        <v>192</v>
      </c>
      <c r="B62" s="109">
        <v>11000</v>
      </c>
      <c r="C62" s="110"/>
      <c r="D62" s="111">
        <f>B62</f>
        <v>11000</v>
      </c>
      <c r="E62" s="111"/>
      <c r="F62" s="112"/>
      <c r="G62" s="113"/>
      <c r="H62" s="114">
        <f>B62-SUM(C62:F62)</f>
        <v>0</v>
      </c>
    </row>
    <row r="63" spans="1:8" ht="12.75">
      <c r="A63" s="80" t="s">
        <v>243</v>
      </c>
      <c r="B63" s="81">
        <v>0</v>
      </c>
      <c r="C63" s="82"/>
      <c r="D63" s="84"/>
      <c r="E63" s="84"/>
      <c r="F63" s="85"/>
      <c r="G63" s="86"/>
      <c r="H63" s="87">
        <f>B63-SUM(C63:F63)</f>
        <v>0</v>
      </c>
    </row>
    <row r="64" spans="1:8" ht="12.75">
      <c r="A64" s="88" t="s">
        <v>193</v>
      </c>
      <c r="B64" s="89">
        <f>SUM(B59:B63)</f>
        <v>12500</v>
      </c>
      <c r="C64" s="90">
        <f>SUM(C59:C63)</f>
        <v>0</v>
      </c>
      <c r="D64" s="91">
        <f>SUM(D59:D63)</f>
        <v>12500</v>
      </c>
      <c r="E64" s="91">
        <f>SUM(E59:E63)</f>
        <v>0</v>
      </c>
      <c r="F64" s="92">
        <f>SUM(F59:F63)</f>
        <v>0</v>
      </c>
      <c r="G64" s="93"/>
      <c r="H64" s="94"/>
    </row>
    <row r="65" spans="1:8" ht="12.75">
      <c r="A65" s="96"/>
      <c r="B65" s="81"/>
      <c r="C65" s="82"/>
      <c r="D65" s="115"/>
      <c r="E65" s="115"/>
      <c r="F65" s="85"/>
      <c r="G65" s="95"/>
      <c r="H65" s="96"/>
    </row>
    <row r="66" spans="1:8" ht="12.75">
      <c r="A66" s="71" t="s">
        <v>244</v>
      </c>
      <c r="B66" s="97"/>
      <c r="C66" s="98"/>
      <c r="D66" s="99"/>
      <c r="E66" s="99"/>
      <c r="F66" s="100"/>
      <c r="G66" s="116"/>
      <c r="H66" s="117"/>
    </row>
    <row r="67" spans="1:8" ht="12.75">
      <c r="A67" s="80" t="s">
        <v>108</v>
      </c>
      <c r="B67" s="81">
        <v>0</v>
      </c>
      <c r="C67" s="82"/>
      <c r="D67" s="84"/>
      <c r="E67" s="84"/>
      <c r="F67" s="85"/>
      <c r="G67" s="86"/>
      <c r="H67" s="79">
        <f>B67-SUM(C67:F67)</f>
        <v>0</v>
      </c>
    </row>
    <row r="68" spans="1:8" ht="12.75">
      <c r="A68" s="80" t="s">
        <v>86</v>
      </c>
      <c r="B68" s="81">
        <v>0</v>
      </c>
      <c r="C68" s="82"/>
      <c r="D68" s="84"/>
      <c r="E68" s="84"/>
      <c r="F68" s="85"/>
      <c r="G68" s="86"/>
      <c r="H68" s="87">
        <f>B68-SUM(C68:F68)</f>
        <v>0</v>
      </c>
    </row>
    <row r="69" spans="1:8" ht="12.75">
      <c r="A69" s="80" t="s">
        <v>194</v>
      </c>
      <c r="B69" s="81">
        <v>0</v>
      </c>
      <c r="C69" s="82"/>
      <c r="D69" s="84"/>
      <c r="E69" s="84"/>
      <c r="F69" s="85"/>
      <c r="G69" s="86"/>
      <c r="H69" s="87">
        <f>B69-SUM(C69:F69)</f>
        <v>0</v>
      </c>
    </row>
    <row r="70" spans="1:8" ht="12.75">
      <c r="A70" s="88" t="s">
        <v>245</v>
      </c>
      <c r="B70" s="89">
        <f>SUM(B67:B69)</f>
        <v>0</v>
      </c>
      <c r="C70" s="90">
        <f>SUM(C67:C69)</f>
        <v>0</v>
      </c>
      <c r="D70" s="91">
        <f>SUM(D67:D69)</f>
        <v>0</v>
      </c>
      <c r="E70" s="91">
        <f>SUM(E67:E69)</f>
        <v>0</v>
      </c>
      <c r="F70" s="92">
        <f>SUM(F67:F69)</f>
        <v>0</v>
      </c>
      <c r="G70" s="93"/>
      <c r="H70" s="94"/>
    </row>
    <row r="71" spans="1:8" ht="12.75">
      <c r="A71" s="96"/>
      <c r="B71" s="81"/>
      <c r="C71" s="82"/>
      <c r="D71" s="115"/>
      <c r="E71" s="115"/>
      <c r="F71" s="85"/>
      <c r="G71" s="95"/>
      <c r="H71" s="96"/>
    </row>
    <row r="72" spans="1:8" ht="12.75">
      <c r="A72" s="71" t="s">
        <v>246</v>
      </c>
      <c r="B72" s="97"/>
      <c r="C72" s="98"/>
      <c r="D72" s="99"/>
      <c r="E72" s="99"/>
      <c r="F72" s="100"/>
      <c r="G72" s="116"/>
      <c r="H72" s="117"/>
    </row>
    <row r="73" spans="1:8" ht="12.75">
      <c r="A73" s="80" t="s">
        <v>195</v>
      </c>
      <c r="B73" s="81">
        <f>'Sources and Uses of Funds Const'!C25</f>
        <v>0</v>
      </c>
      <c r="C73" s="82"/>
      <c r="D73" s="84">
        <f>B73</f>
        <v>0</v>
      </c>
      <c r="E73" s="84"/>
      <c r="F73" s="85"/>
      <c r="G73" s="86"/>
      <c r="H73" s="79">
        <f>B73-SUM(C73:F73)</f>
        <v>0</v>
      </c>
    </row>
    <row r="74" spans="1:8" ht="12.75">
      <c r="A74" s="80" t="s">
        <v>196</v>
      </c>
      <c r="B74" s="81">
        <v>0</v>
      </c>
      <c r="C74" s="82"/>
      <c r="D74" s="84"/>
      <c r="E74" s="84"/>
      <c r="F74" s="85"/>
      <c r="G74" s="86"/>
      <c r="H74" s="87">
        <f>B74-SUM(C74:F74)</f>
        <v>0</v>
      </c>
    </row>
    <row r="75" spans="1:8" ht="12.75">
      <c r="A75" s="101" t="s">
        <v>197</v>
      </c>
      <c r="B75" s="102">
        <v>0</v>
      </c>
      <c r="C75" s="103"/>
      <c r="D75" s="104"/>
      <c r="E75" s="104"/>
      <c r="F75" s="105"/>
      <c r="G75" s="106"/>
      <c r="H75" s="107">
        <f>B75-SUM(C75:F75)</f>
        <v>0</v>
      </c>
    </row>
    <row r="76" spans="1:8" ht="12.75">
      <c r="A76" s="108" t="s">
        <v>247</v>
      </c>
      <c r="B76" s="109">
        <v>0</v>
      </c>
      <c r="C76" s="110"/>
      <c r="D76" s="111"/>
      <c r="E76" s="111"/>
      <c r="F76" s="112"/>
      <c r="G76" s="113"/>
      <c r="H76" s="114">
        <f>B76-SUM(C76:F76)</f>
        <v>0</v>
      </c>
    </row>
    <row r="77" spans="1:8" ht="12.75">
      <c r="A77" s="88" t="s">
        <v>198</v>
      </c>
      <c r="B77" s="89">
        <f>SUM(B73:B76)</f>
        <v>0</v>
      </c>
      <c r="C77" s="90">
        <f>SUM(C73:C76)</f>
        <v>0</v>
      </c>
      <c r="D77" s="91">
        <f>SUM(D73:D76)</f>
        <v>0</v>
      </c>
      <c r="E77" s="91">
        <f>SUM(E73:E76)</f>
        <v>0</v>
      </c>
      <c r="F77" s="92">
        <f>SUM(F73:F76)</f>
        <v>0</v>
      </c>
      <c r="G77" s="93"/>
      <c r="H77" s="94"/>
    </row>
    <row r="78" spans="1:8" ht="12.75">
      <c r="A78" s="96"/>
      <c r="B78" s="81"/>
      <c r="C78" s="82"/>
      <c r="D78" s="115"/>
      <c r="E78" s="115"/>
      <c r="F78" s="85"/>
      <c r="G78" s="95"/>
      <c r="H78" s="96"/>
    </row>
    <row r="79" spans="1:8" ht="12.75">
      <c r="A79" s="71" t="s">
        <v>248</v>
      </c>
      <c r="B79" s="97"/>
      <c r="C79" s="98"/>
      <c r="D79" s="99"/>
      <c r="E79" s="99"/>
      <c r="F79" s="100"/>
      <c r="G79" s="116"/>
      <c r="H79" s="117"/>
    </row>
    <row r="80" spans="1:8" ht="12.75">
      <c r="A80" s="80" t="s">
        <v>249</v>
      </c>
      <c r="B80" s="81">
        <f>'Sources and Uses of Funds Const'!C41</f>
        <v>0</v>
      </c>
      <c r="C80" s="82"/>
      <c r="D80" s="84">
        <f>B80</f>
        <v>0</v>
      </c>
      <c r="E80" s="84"/>
      <c r="F80" s="85"/>
      <c r="G80" s="86"/>
      <c r="H80" s="79">
        <f aca="true" t="shared" si="3" ref="H80:H86">B80-SUM(C80:F80)</f>
        <v>0</v>
      </c>
    </row>
    <row r="81" spans="1:8" ht="12.75">
      <c r="A81" s="80" t="s">
        <v>250</v>
      </c>
      <c r="B81" s="81">
        <f>'Sources and Uses of Funds Const'!C39</f>
        <v>20000</v>
      </c>
      <c r="C81" s="82"/>
      <c r="D81" s="84">
        <f>B81</f>
        <v>20000</v>
      </c>
      <c r="E81" s="84"/>
      <c r="F81" s="85"/>
      <c r="G81" s="86"/>
      <c r="H81" s="87">
        <f t="shared" si="3"/>
        <v>0</v>
      </c>
    </row>
    <row r="82" spans="1:8" ht="12.75">
      <c r="A82" s="101" t="s">
        <v>251</v>
      </c>
      <c r="B82" s="102">
        <f>'Sources and Uses of Funds Const'!C34+'Sources and Uses of Funds Const'!C27</f>
        <v>15000</v>
      </c>
      <c r="C82" s="103"/>
      <c r="D82" s="104">
        <f>B82</f>
        <v>15000</v>
      </c>
      <c r="E82" s="104"/>
      <c r="F82" s="105"/>
      <c r="G82" s="106"/>
      <c r="H82" s="107">
        <f t="shared" si="3"/>
        <v>0</v>
      </c>
    </row>
    <row r="83" spans="1:8" ht="12.75">
      <c r="A83" s="108" t="s">
        <v>202</v>
      </c>
      <c r="B83" s="109">
        <v>0</v>
      </c>
      <c r="C83" s="110"/>
      <c r="D83" s="111"/>
      <c r="E83" s="111"/>
      <c r="F83" s="112"/>
      <c r="G83" s="113"/>
      <c r="H83" s="114">
        <f t="shared" si="3"/>
        <v>0</v>
      </c>
    </row>
    <row r="84" spans="1:8" ht="12.75">
      <c r="A84" s="80" t="s">
        <v>203</v>
      </c>
      <c r="B84" s="81">
        <v>0</v>
      </c>
      <c r="C84" s="82"/>
      <c r="D84" s="84"/>
      <c r="E84" s="84"/>
      <c r="F84" s="85"/>
      <c r="G84" s="86"/>
      <c r="H84" s="87">
        <f t="shared" si="3"/>
        <v>0</v>
      </c>
    </row>
    <row r="85" spans="1:8" ht="12.75">
      <c r="A85" s="101" t="s">
        <v>252</v>
      </c>
      <c r="B85" s="102">
        <v>0</v>
      </c>
      <c r="C85" s="103"/>
      <c r="D85" s="104"/>
      <c r="E85" s="104"/>
      <c r="F85" s="105"/>
      <c r="G85" s="106"/>
      <c r="H85" s="107">
        <f t="shared" si="3"/>
        <v>0</v>
      </c>
    </row>
    <row r="86" spans="1:8" ht="12.75">
      <c r="A86" s="108" t="s">
        <v>204</v>
      </c>
      <c r="B86" s="109">
        <v>0</v>
      </c>
      <c r="C86" s="110"/>
      <c r="D86" s="111"/>
      <c r="E86" s="111"/>
      <c r="F86" s="112"/>
      <c r="G86" s="113"/>
      <c r="H86" s="114">
        <f t="shared" si="3"/>
        <v>0</v>
      </c>
    </row>
    <row r="87" spans="1:8" ht="12.75">
      <c r="A87" s="88" t="s">
        <v>205</v>
      </c>
      <c r="B87" s="89">
        <f>SUM(B80:B86)</f>
        <v>35000</v>
      </c>
      <c r="C87" s="90">
        <f>SUM(C80:C86)</f>
        <v>0</v>
      </c>
      <c r="D87" s="91">
        <f>SUM(D80:D86)</f>
        <v>35000</v>
      </c>
      <c r="E87" s="91">
        <f>SUM(E80:E86)</f>
        <v>0</v>
      </c>
      <c r="F87" s="92">
        <f>SUM(F80:F86)</f>
        <v>0</v>
      </c>
      <c r="G87" s="93"/>
      <c r="H87" s="94"/>
    </row>
    <row r="88" spans="1:8" ht="12.75">
      <c r="A88" s="96"/>
      <c r="B88" s="81"/>
      <c r="C88" s="82"/>
      <c r="D88" s="115"/>
      <c r="E88" s="115"/>
      <c r="F88" s="85"/>
      <c r="G88" s="95"/>
      <c r="H88" s="96"/>
    </row>
    <row r="89" spans="1:8" ht="12.75">
      <c r="A89" s="71" t="s">
        <v>253</v>
      </c>
      <c r="B89" s="97"/>
      <c r="C89" s="98"/>
      <c r="D89" s="99"/>
      <c r="E89" s="99"/>
      <c r="F89" s="100"/>
      <c r="G89" s="116"/>
      <c r="H89" s="117"/>
    </row>
    <row r="90" spans="1:8" ht="12.75">
      <c r="A90" s="80" t="s">
        <v>254</v>
      </c>
      <c r="B90" s="81">
        <v>0</v>
      </c>
      <c r="C90" s="82"/>
      <c r="D90" s="84"/>
      <c r="E90" s="84"/>
      <c r="F90" s="85"/>
      <c r="G90" s="86"/>
      <c r="H90" s="79">
        <f aca="true" t="shared" si="4" ref="H90:H97">B90-SUM(C90:F90)</f>
        <v>0</v>
      </c>
    </row>
    <row r="91" spans="1:8" ht="12.75">
      <c r="A91" s="80" t="s">
        <v>199</v>
      </c>
      <c r="B91" s="81">
        <v>0</v>
      </c>
      <c r="C91" s="82"/>
      <c r="D91" s="84"/>
      <c r="E91" s="84"/>
      <c r="F91" s="85"/>
      <c r="G91" s="86"/>
      <c r="H91" s="87">
        <f t="shared" si="4"/>
        <v>0</v>
      </c>
    </row>
    <row r="92" spans="1:8" ht="12.75">
      <c r="A92" s="101" t="s">
        <v>255</v>
      </c>
      <c r="B92" s="102">
        <f>'Sources and Uses of Funds Const'!C35</f>
        <v>48856.28</v>
      </c>
      <c r="C92" s="103"/>
      <c r="D92" s="104">
        <f>B92</f>
        <v>48856.28</v>
      </c>
      <c r="E92" s="104"/>
      <c r="F92" s="105"/>
      <c r="G92" s="106"/>
      <c r="H92" s="107">
        <f t="shared" si="4"/>
        <v>0</v>
      </c>
    </row>
    <row r="93" spans="1:8" ht="12.75">
      <c r="A93" s="108" t="s">
        <v>34</v>
      </c>
      <c r="B93" s="109">
        <f>'Sources and Uses of Funds Const'!C38</f>
        <v>35460.72</v>
      </c>
      <c r="C93" s="110"/>
      <c r="D93" s="111">
        <f>B93</f>
        <v>35460.72</v>
      </c>
      <c r="E93" s="111"/>
      <c r="F93" s="112"/>
      <c r="G93" s="113"/>
      <c r="H93" s="114">
        <f t="shared" si="4"/>
        <v>0</v>
      </c>
    </row>
    <row r="94" spans="1:8" ht="12.75">
      <c r="A94" s="80" t="s">
        <v>256</v>
      </c>
      <c r="B94" s="81">
        <v>0</v>
      </c>
      <c r="C94" s="82"/>
      <c r="D94" s="84"/>
      <c r="E94" s="84"/>
      <c r="F94" s="85"/>
      <c r="G94" s="86"/>
      <c r="H94" s="87">
        <f t="shared" si="4"/>
        <v>0</v>
      </c>
    </row>
    <row r="95" spans="1:8" ht="12.75">
      <c r="A95" s="101" t="s">
        <v>200</v>
      </c>
      <c r="B95" s="102">
        <v>0</v>
      </c>
      <c r="C95" s="103"/>
      <c r="D95" s="104"/>
      <c r="E95" s="104"/>
      <c r="F95" s="105"/>
      <c r="G95" s="106"/>
      <c r="H95" s="107">
        <f t="shared" si="4"/>
        <v>0</v>
      </c>
    </row>
    <row r="96" spans="1:8" ht="12.75">
      <c r="A96" s="108" t="s">
        <v>201</v>
      </c>
      <c r="B96" s="109">
        <v>0</v>
      </c>
      <c r="C96" s="110"/>
      <c r="D96" s="111"/>
      <c r="E96" s="111"/>
      <c r="F96" s="112"/>
      <c r="G96" s="113"/>
      <c r="H96" s="114">
        <f t="shared" si="4"/>
        <v>0</v>
      </c>
    </row>
    <row r="97" spans="1:8" ht="12.75">
      <c r="A97" s="80" t="s">
        <v>257</v>
      </c>
      <c r="B97" s="81">
        <v>0</v>
      </c>
      <c r="C97" s="82"/>
      <c r="D97" s="84"/>
      <c r="E97" s="84"/>
      <c r="F97" s="85"/>
      <c r="G97" s="86"/>
      <c r="H97" s="87">
        <f t="shared" si="4"/>
        <v>0</v>
      </c>
    </row>
    <row r="98" spans="1:8" ht="12.75">
      <c r="A98" s="88" t="s">
        <v>258</v>
      </c>
      <c r="B98" s="89">
        <f>SUM(B90:B97)</f>
        <v>84317</v>
      </c>
      <c r="C98" s="90">
        <f>SUM(C90:C97)</f>
        <v>0</v>
      </c>
      <c r="D98" s="91">
        <f>SUM(D90:D97)</f>
        <v>84317</v>
      </c>
      <c r="E98" s="91">
        <f>SUM(E90:E97)</f>
        <v>0</v>
      </c>
      <c r="F98" s="92">
        <f>SUM(F90:F97)</f>
        <v>0</v>
      </c>
      <c r="G98" s="93"/>
      <c r="H98" s="94"/>
    </row>
    <row r="99" spans="1:8" ht="12.75">
      <c r="A99" s="65"/>
      <c r="B99" s="118"/>
      <c r="C99" s="119"/>
      <c r="D99" s="65"/>
      <c r="E99" s="65"/>
      <c r="F99" s="96"/>
      <c r="G99" s="95"/>
      <c r="H99" s="96"/>
    </row>
    <row r="100" spans="1:8" ht="13.5" thickBot="1">
      <c r="A100" s="88" t="s">
        <v>259</v>
      </c>
      <c r="B100" s="120" t="e">
        <f>SUM(B98,B87,B77,B70,B64,B56,B49,B40,B28,B15,B10)</f>
        <v>#REF!</v>
      </c>
      <c r="C100" s="121">
        <f>SUM(C98,C87,C77,C70,C64,C56,C49,C40,C28,C15,C10)</f>
        <v>1380000</v>
      </c>
      <c r="D100" s="122" t="e">
        <f>SUM(D98,D87,D77,D70,D64,D56,D49,D40,D28,D15,D10)</f>
        <v>#REF!</v>
      </c>
      <c r="E100" s="122">
        <f>SUM(E98,E87,E77,E70,E64,E56,E49,E40,E28,E15,E10)</f>
        <v>235000</v>
      </c>
      <c r="F100" s="123">
        <f>SUM(F98,F87,F77,F70,F64,F56,F49,F40,F28,F15,F10)</f>
        <v>35925</v>
      </c>
      <c r="G100" s="124"/>
      <c r="H100" s="65"/>
    </row>
    <row r="101" spans="1:8" ht="12.75">
      <c r="A101" s="159" t="s">
        <v>280</v>
      </c>
      <c r="B101" s="161">
        <f>'Sources and Uses of Funds Const'!C42</f>
        <v>284566.4</v>
      </c>
      <c r="C101" s="160">
        <f>'Sources and Uses of Funds Const'!C8</f>
        <v>0</v>
      </c>
      <c r="D101" s="160">
        <v>570003</v>
      </c>
      <c r="E101" s="160">
        <v>235000</v>
      </c>
      <c r="F101" s="160">
        <f>'Sources and Uses of Funds Const'!C12</f>
        <v>0</v>
      </c>
      <c r="G101" s="142"/>
      <c r="H101" s="65"/>
    </row>
    <row r="102" spans="1:8" ht="12.75">
      <c r="A102" s="125"/>
      <c r="B102" s="65"/>
      <c r="C102" s="65"/>
      <c r="D102" s="65"/>
      <c r="E102" s="65"/>
      <c r="F102" s="65"/>
      <c r="G102" s="65"/>
      <c r="H102" s="65"/>
    </row>
    <row r="103" spans="1:8" ht="12.75">
      <c r="A103" s="475"/>
      <c r="B103" s="476"/>
      <c r="C103" s="126"/>
      <c r="D103" s="126"/>
      <c r="E103" s="126"/>
      <c r="F103" s="126"/>
      <c r="G103" s="126"/>
      <c r="H103" s="65"/>
    </row>
    <row r="104" spans="1:8" ht="12.75">
      <c r="A104" s="475"/>
      <c r="B104" s="477"/>
      <c r="C104" s="126"/>
      <c r="D104" s="126"/>
      <c r="E104" s="126"/>
      <c r="F104" s="126"/>
      <c r="G104" s="126"/>
      <c r="H104" s="65"/>
    </row>
    <row r="105" spans="1:8" ht="12.75">
      <c r="A105" s="127"/>
      <c r="B105" s="127"/>
      <c r="C105" s="65"/>
      <c r="D105" s="65"/>
      <c r="E105" s="65"/>
      <c r="F105" s="65"/>
      <c r="G105" s="65"/>
      <c r="H105" s="65"/>
    </row>
    <row r="106" spans="1:8" ht="15">
      <c r="A106" s="141"/>
      <c r="B106" s="144"/>
      <c r="C106" s="140"/>
      <c r="D106" s="140"/>
      <c r="E106" s="140"/>
      <c r="F106" s="140"/>
      <c r="G106" s="140"/>
      <c r="H106" s="140"/>
    </row>
    <row r="107" spans="1:8" ht="12.75">
      <c r="A107" s="472"/>
      <c r="B107" s="473"/>
      <c r="C107" s="143"/>
      <c r="D107" s="143"/>
      <c r="E107" s="143"/>
      <c r="F107" s="143"/>
      <c r="G107" s="143"/>
      <c r="H107" s="140"/>
    </row>
    <row r="108" spans="1:8" ht="12.75">
      <c r="A108" s="472"/>
      <c r="B108" s="473"/>
      <c r="C108" s="143"/>
      <c r="D108" s="143"/>
      <c r="E108" s="143"/>
      <c r="F108" s="143"/>
      <c r="G108" s="143"/>
      <c r="H108" s="140"/>
    </row>
    <row r="109" spans="1:8" ht="12.75">
      <c r="A109" s="472"/>
      <c r="B109" s="473"/>
      <c r="C109" s="143"/>
      <c r="D109" s="143"/>
      <c r="E109" s="143"/>
      <c r="F109" s="143"/>
      <c r="G109" s="143"/>
      <c r="H109" s="140"/>
    </row>
    <row r="110" spans="1:8" ht="12.75">
      <c r="A110" s="472"/>
      <c r="B110" s="473"/>
      <c r="C110" s="143"/>
      <c r="D110" s="143"/>
      <c r="E110" s="143"/>
      <c r="F110" s="143"/>
      <c r="G110" s="143"/>
      <c r="H110" s="140"/>
    </row>
    <row r="111" spans="1:8" ht="12.75">
      <c r="A111" s="472"/>
      <c r="B111" s="473"/>
      <c r="C111" s="143"/>
      <c r="D111" s="143"/>
      <c r="E111" s="143"/>
      <c r="F111" s="143"/>
      <c r="G111" s="143"/>
      <c r="H111" s="140"/>
    </row>
    <row r="112" spans="1:8" ht="12.75">
      <c r="A112" s="472"/>
      <c r="B112" s="473"/>
      <c r="C112" s="143"/>
      <c r="D112" s="143"/>
      <c r="E112" s="143"/>
      <c r="F112" s="143"/>
      <c r="G112" s="143"/>
      <c r="H112" s="140"/>
    </row>
    <row r="113" spans="1:8" ht="12.75">
      <c r="A113" s="472"/>
      <c r="B113" s="473"/>
      <c r="C113" s="143"/>
      <c r="D113" s="143"/>
      <c r="E113" s="143"/>
      <c r="F113" s="143"/>
      <c r="G113" s="143"/>
      <c r="H113" s="140"/>
    </row>
    <row r="114" spans="1:8" ht="12.75">
      <c r="A114" s="486"/>
      <c r="B114" s="487"/>
      <c r="C114" s="140"/>
      <c r="D114" s="140"/>
      <c r="E114" s="140"/>
      <c r="F114" s="140"/>
      <c r="G114" s="140"/>
      <c r="H114" s="140"/>
    </row>
    <row r="115" spans="1:7" ht="12.75">
      <c r="A115" s="148"/>
      <c r="B115" s="146"/>
      <c r="C115" s="146"/>
      <c r="D115" s="146"/>
      <c r="E115" s="146"/>
      <c r="F115" s="147"/>
      <c r="G115" s="146"/>
    </row>
    <row r="116" spans="1:7" ht="12.75">
      <c r="A116" s="149"/>
      <c r="B116" s="146"/>
      <c r="C116" s="146"/>
      <c r="D116" s="146"/>
      <c r="E116" s="146"/>
      <c r="F116" s="147"/>
      <c r="G116" s="146"/>
    </row>
    <row r="117" spans="1:7" ht="12.75">
      <c r="A117" s="149"/>
      <c r="B117" s="146"/>
      <c r="C117" s="146"/>
      <c r="D117" s="146"/>
      <c r="E117" s="146"/>
      <c r="F117" s="147"/>
      <c r="G117" s="146"/>
    </row>
    <row r="118" spans="1:7" ht="12.75">
      <c r="A118" s="149"/>
      <c r="B118" s="146"/>
      <c r="C118" s="146"/>
      <c r="D118" s="147"/>
      <c r="E118" s="147"/>
      <c r="F118" s="147"/>
      <c r="G118" s="146"/>
    </row>
    <row r="119" spans="1:7" ht="12.75">
      <c r="A119" s="145"/>
      <c r="B119" s="150"/>
      <c r="C119" s="146"/>
      <c r="D119" s="147"/>
      <c r="E119" s="147"/>
      <c r="F119" s="151"/>
      <c r="G119" s="150"/>
    </row>
    <row r="120" spans="1:7" ht="12.75">
      <c r="A120" s="145"/>
      <c r="B120" s="146"/>
      <c r="C120" s="146"/>
      <c r="D120" s="147"/>
      <c r="E120" s="147"/>
      <c r="F120" s="147"/>
      <c r="G120" s="146"/>
    </row>
    <row r="121" spans="1:7" ht="12.75">
      <c r="A121" s="152"/>
      <c r="B121" s="153"/>
      <c r="C121" s="154"/>
      <c r="D121" s="147"/>
      <c r="E121" s="147"/>
      <c r="F121" s="151"/>
      <c r="G121" s="146"/>
    </row>
    <row r="122" spans="1:7" ht="12.75">
      <c r="A122" s="145"/>
      <c r="B122" s="146"/>
      <c r="C122" s="146"/>
      <c r="D122" s="147"/>
      <c r="E122" s="147"/>
      <c r="F122" s="147"/>
      <c r="G122" s="146"/>
    </row>
    <row r="123" spans="1:7" ht="12.75">
      <c r="A123" s="488"/>
      <c r="B123" s="489"/>
      <c r="C123" s="489"/>
      <c r="D123" s="489"/>
      <c r="E123" s="489"/>
      <c r="F123" s="489"/>
      <c r="G123" s="489"/>
    </row>
    <row r="124" spans="1:7" ht="12.75">
      <c r="A124" s="155"/>
      <c r="B124" s="146"/>
      <c r="C124" s="146"/>
      <c r="D124" s="146"/>
      <c r="E124" s="146"/>
      <c r="F124" s="147"/>
      <c r="G124" s="146"/>
    </row>
    <row r="125" spans="1:7" ht="12.75">
      <c r="A125" s="155"/>
      <c r="B125" s="146"/>
      <c r="C125" s="146"/>
      <c r="D125" s="146"/>
      <c r="E125" s="146"/>
      <c r="F125" s="147"/>
      <c r="G125" s="146"/>
    </row>
    <row r="126" spans="1:7" ht="12.75">
      <c r="A126" s="155"/>
      <c r="B126" s="146"/>
      <c r="C126" s="146"/>
      <c r="D126" s="146"/>
      <c r="E126" s="146"/>
      <c r="F126" s="147"/>
      <c r="G126" s="146"/>
    </row>
    <row r="127" spans="1:7" ht="12.75">
      <c r="A127" s="148"/>
      <c r="B127" s="146"/>
      <c r="C127" s="146"/>
      <c r="D127" s="146"/>
      <c r="E127" s="146"/>
      <c r="F127" s="147"/>
      <c r="G127" s="146"/>
    </row>
    <row r="128" spans="1:7" ht="12.75">
      <c r="A128" s="155"/>
      <c r="B128" s="146"/>
      <c r="C128" s="146"/>
      <c r="D128" s="146"/>
      <c r="E128" s="146"/>
      <c r="F128" s="147"/>
      <c r="G128" s="146"/>
    </row>
    <row r="129" spans="1:7" ht="12.75">
      <c r="A129" s="155"/>
      <c r="B129" s="146"/>
      <c r="C129" s="146"/>
      <c r="D129" s="146"/>
      <c r="E129" s="146"/>
      <c r="F129" s="147"/>
      <c r="G129" s="146"/>
    </row>
    <row r="130" spans="1:7" ht="12.75">
      <c r="A130" s="148"/>
      <c r="B130" s="146"/>
      <c r="C130" s="146"/>
      <c r="D130" s="146"/>
      <c r="E130" s="146"/>
      <c r="F130" s="147"/>
      <c r="G130" s="146"/>
    </row>
    <row r="131" spans="1:7" ht="12.75">
      <c r="A131" s="149"/>
      <c r="B131" s="146"/>
      <c r="C131" s="146"/>
      <c r="D131" s="147"/>
      <c r="E131" s="147"/>
      <c r="F131" s="147"/>
      <c r="G131" s="146"/>
    </row>
    <row r="132" spans="1:7" ht="12.75">
      <c r="A132" s="145"/>
      <c r="B132" s="150"/>
      <c r="C132" s="146"/>
      <c r="D132" s="147"/>
      <c r="E132" s="147"/>
      <c r="F132" s="151"/>
      <c r="G132" s="146"/>
    </row>
    <row r="133" spans="1:7" ht="12.75">
      <c r="A133" s="156"/>
      <c r="B133" s="157"/>
      <c r="C133" s="157"/>
      <c r="D133" s="157"/>
      <c r="E133" s="157"/>
      <c r="F133" s="157"/>
      <c r="G133" s="157"/>
    </row>
    <row r="134" spans="1:7" ht="12.75">
      <c r="A134" s="152"/>
      <c r="B134" s="150"/>
      <c r="C134" s="146"/>
      <c r="D134" s="146"/>
      <c r="E134" s="146"/>
      <c r="F134" s="150"/>
      <c r="G134" s="150"/>
    </row>
    <row r="144" ht="12.75"/>
  </sheetData>
  <sheetProtection/>
  <mergeCells count="19">
    <mergeCell ref="A114:B114"/>
    <mergeCell ref="A123:G123"/>
    <mergeCell ref="A110:B110"/>
    <mergeCell ref="A111:B111"/>
    <mergeCell ref="A112:B112"/>
    <mergeCell ref="A113:B113"/>
    <mergeCell ref="D1:G1"/>
    <mergeCell ref="C3:F3"/>
    <mergeCell ref="B4:B5"/>
    <mergeCell ref="C4:C5"/>
    <mergeCell ref="D4:D5"/>
    <mergeCell ref="F4:F5"/>
    <mergeCell ref="A108:B108"/>
    <mergeCell ref="A109:B109"/>
    <mergeCell ref="H4:H5"/>
    <mergeCell ref="A103:B103"/>
    <mergeCell ref="A104:B104"/>
    <mergeCell ref="A107:B107"/>
    <mergeCell ref="E4:E5"/>
  </mergeCells>
  <printOptions/>
  <pageMargins left="0.75" right="0.25" top="1" bottom="1" header="0.5" footer="0.5"/>
  <pageSetup fitToHeight="0" fitToWidth="0" horizontalDpi="600" verticalDpi="600" orientation="portrait" scale="74" r:id="rId3"/>
  <rowBreaks count="1" manualBreakCount="1">
    <brk id="65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4"/>
  <sheetViews>
    <sheetView view="pageBreakPreview" zoomScaleSheetLayoutView="100" zoomScalePageLayoutView="0" workbookViewId="0" topLeftCell="A1">
      <selection activeCell="F33" sqref="F33"/>
    </sheetView>
  </sheetViews>
  <sheetFormatPr defaultColWidth="8.8515625" defaultRowHeight="12.75"/>
  <cols>
    <col min="1" max="1" width="40.7109375" style="0" customWidth="1"/>
    <col min="2" max="2" width="12.7109375" style="1" customWidth="1"/>
    <col min="3" max="3" width="12.7109375" style="14" customWidth="1"/>
    <col min="4" max="7" width="12.7109375" style="0" customWidth="1"/>
    <col min="8" max="8" width="2.7109375" style="0" customWidth="1"/>
    <col min="9" max="9" width="10.7109375" style="0" customWidth="1"/>
  </cols>
  <sheetData>
    <row r="1" spans="1:9" ht="12.75">
      <c r="A1" s="68" t="e">
        <f>#REF!</f>
        <v>#REF!</v>
      </c>
      <c r="B1" s="65"/>
      <c r="C1" s="66"/>
      <c r="D1" s="66"/>
      <c r="E1" s="66"/>
      <c r="F1" s="480" t="s">
        <v>206</v>
      </c>
      <c r="G1" s="480"/>
      <c r="H1" s="480"/>
      <c r="I1" s="67">
        <v>2480</v>
      </c>
    </row>
    <row r="2" spans="1:9" ht="12.75">
      <c r="A2" s="132" t="e">
        <f>#REF!</f>
        <v>#REF!</v>
      </c>
      <c r="B2" s="65"/>
      <c r="C2" s="65"/>
      <c r="D2" s="65"/>
      <c r="E2" s="65"/>
      <c r="F2" s="65"/>
      <c r="G2" s="65" t="s">
        <v>207</v>
      </c>
      <c r="H2" s="65"/>
      <c r="I2" s="66">
        <v>5</v>
      </c>
    </row>
    <row r="3" spans="1:9" ht="17.25" customHeight="1" thickBot="1">
      <c r="A3" s="65"/>
      <c r="B3" s="65"/>
      <c r="C3" s="481" t="s">
        <v>208</v>
      </c>
      <c r="D3" s="481"/>
      <c r="E3" s="481"/>
      <c r="F3" s="481"/>
      <c r="G3" s="481"/>
      <c r="H3" s="69"/>
      <c r="I3" s="65"/>
    </row>
    <row r="4" spans="1:9" ht="12.75" customHeight="1">
      <c r="A4" s="6" t="s">
        <v>295</v>
      </c>
      <c r="B4" s="482" t="s">
        <v>209</v>
      </c>
      <c r="C4" s="484" t="s">
        <v>210</v>
      </c>
      <c r="D4" s="478" t="s">
        <v>299</v>
      </c>
      <c r="E4" s="478" t="s">
        <v>300</v>
      </c>
      <c r="F4" s="478" t="s">
        <v>278</v>
      </c>
      <c r="G4" s="485" t="s">
        <v>158</v>
      </c>
      <c r="H4" s="70"/>
      <c r="I4" s="474" t="s">
        <v>211</v>
      </c>
    </row>
    <row r="5" spans="1:9" ht="12.75" customHeight="1">
      <c r="A5" s="71"/>
      <c r="B5" s="483"/>
      <c r="C5" s="484"/>
      <c r="D5" s="478"/>
      <c r="E5" s="478"/>
      <c r="F5" s="478"/>
      <c r="G5" s="485"/>
      <c r="H5" s="70"/>
      <c r="I5" s="474"/>
    </row>
    <row r="6" spans="1:9" ht="12.75" customHeight="1">
      <c r="A6" s="71" t="s">
        <v>212</v>
      </c>
      <c r="B6" s="138"/>
      <c r="C6" s="139"/>
      <c r="D6" s="136"/>
      <c r="E6" s="136"/>
      <c r="F6" s="136"/>
      <c r="G6" s="158"/>
      <c r="H6" s="70"/>
      <c r="I6" s="137"/>
    </row>
    <row r="7" spans="1:9" ht="12.75">
      <c r="A7" s="72" t="s">
        <v>213</v>
      </c>
      <c r="B7" s="73">
        <f>'Sources and Uses of Funds Perm'!C12</f>
        <v>679000</v>
      </c>
      <c r="C7" s="74"/>
      <c r="D7" s="75">
        <f>'Detailed Const S&amp;U'!D7</f>
        <v>0</v>
      </c>
      <c r="E7" s="75"/>
      <c r="F7" s="76"/>
      <c r="G7" s="77"/>
      <c r="H7" s="78"/>
      <c r="I7" s="79">
        <f>B7-SUM(C7:G7)</f>
        <v>679000</v>
      </c>
    </row>
    <row r="8" spans="1:9" ht="12.75">
      <c r="A8" s="80" t="s">
        <v>180</v>
      </c>
      <c r="B8" s="81">
        <v>0</v>
      </c>
      <c r="C8" s="82"/>
      <c r="D8" s="83"/>
      <c r="E8" s="83"/>
      <c r="F8" s="84"/>
      <c r="G8" s="85"/>
      <c r="H8" s="86"/>
      <c r="I8" s="87">
        <f>B8-SUM(C8:G8)</f>
        <v>0</v>
      </c>
    </row>
    <row r="9" spans="1:9" ht="12.75">
      <c r="A9" s="80" t="s">
        <v>214</v>
      </c>
      <c r="B9" s="81">
        <f>'Sources and Uses of Funds Perm'!C14</f>
        <v>0</v>
      </c>
      <c r="C9" s="82"/>
      <c r="D9" s="83">
        <f>'Detailed Const S&amp;U'!D9</f>
        <v>16187.1</v>
      </c>
      <c r="E9" s="83"/>
      <c r="F9" s="84">
        <f>B9-D9</f>
        <v>-16187.1</v>
      </c>
      <c r="G9" s="85"/>
      <c r="H9" s="86"/>
      <c r="I9" s="87">
        <f>B9-SUM(C9:G9)</f>
        <v>0</v>
      </c>
    </row>
    <row r="10" spans="1:9" ht="12.75">
      <c r="A10" s="88" t="s">
        <v>215</v>
      </c>
      <c r="B10" s="89">
        <f aca="true" t="shared" si="0" ref="B10:G10">SUM(B7:B9)</f>
        <v>679000</v>
      </c>
      <c r="C10" s="90">
        <f t="shared" si="0"/>
        <v>0</v>
      </c>
      <c r="D10" s="91">
        <f t="shared" si="0"/>
        <v>16187.1</v>
      </c>
      <c r="E10" s="91">
        <f t="shared" si="0"/>
        <v>0</v>
      </c>
      <c r="F10" s="91">
        <f t="shared" si="0"/>
        <v>-16187.1</v>
      </c>
      <c r="G10" s="92">
        <f t="shared" si="0"/>
        <v>0</v>
      </c>
      <c r="H10" s="93"/>
      <c r="I10" s="94"/>
    </row>
    <row r="11" spans="1:9" ht="12.75">
      <c r="A11" s="65"/>
      <c r="B11" s="81"/>
      <c r="C11" s="82"/>
      <c r="D11" s="84"/>
      <c r="E11" s="84"/>
      <c r="F11" s="84"/>
      <c r="G11" s="85"/>
      <c r="H11" s="95"/>
      <c r="I11" s="96"/>
    </row>
    <row r="12" spans="1:9" ht="12.75">
      <c r="A12" s="71" t="s">
        <v>216</v>
      </c>
      <c r="B12" s="97"/>
      <c r="C12" s="98"/>
      <c r="D12" s="99"/>
      <c r="E12" s="99"/>
      <c r="F12" s="99"/>
      <c r="G12" s="100"/>
      <c r="H12" s="95"/>
      <c r="I12" s="96"/>
    </row>
    <row r="13" spans="1:9" ht="12.75">
      <c r="A13" s="72" t="s">
        <v>217</v>
      </c>
      <c r="B13" s="73">
        <v>0</v>
      </c>
      <c r="C13" s="74"/>
      <c r="D13" s="76"/>
      <c r="E13" s="76"/>
      <c r="F13" s="76"/>
      <c r="G13" s="77"/>
      <c r="H13" s="78"/>
      <c r="I13" s="79">
        <f>B13-SUM(C13:G13)</f>
        <v>0</v>
      </c>
    </row>
    <row r="14" spans="1:9" ht="12.75">
      <c r="A14" s="80" t="s">
        <v>218</v>
      </c>
      <c r="B14" s="81">
        <v>0</v>
      </c>
      <c r="C14" s="82"/>
      <c r="D14" s="84"/>
      <c r="E14" s="84"/>
      <c r="F14" s="84"/>
      <c r="G14" s="85"/>
      <c r="H14" s="86"/>
      <c r="I14" s="87">
        <f>B14-SUM(C14:G14)</f>
        <v>0</v>
      </c>
    </row>
    <row r="15" spans="1:9" ht="12.75">
      <c r="A15" s="88" t="s">
        <v>219</v>
      </c>
      <c r="B15" s="89">
        <f aca="true" t="shared" si="1" ref="B15:G15">SUM(B13:B14)</f>
        <v>0</v>
      </c>
      <c r="C15" s="90">
        <f t="shared" si="1"/>
        <v>0</v>
      </c>
      <c r="D15" s="91">
        <f t="shared" si="1"/>
        <v>0</v>
      </c>
      <c r="E15" s="91">
        <f t="shared" si="1"/>
        <v>0</v>
      </c>
      <c r="F15" s="91">
        <f t="shared" si="1"/>
        <v>0</v>
      </c>
      <c r="G15" s="92">
        <f t="shared" si="1"/>
        <v>0</v>
      </c>
      <c r="H15" s="93"/>
      <c r="I15" s="94"/>
    </row>
    <row r="16" spans="1:9" ht="12.75">
      <c r="A16" s="65"/>
      <c r="B16" s="81"/>
      <c r="C16" s="82"/>
      <c r="D16" s="84"/>
      <c r="E16" s="84"/>
      <c r="F16" s="84"/>
      <c r="G16" s="85"/>
      <c r="H16" s="95"/>
      <c r="I16" s="96"/>
    </row>
    <row r="17" spans="1:9" ht="12.75">
      <c r="A17" s="71" t="s">
        <v>220</v>
      </c>
      <c r="B17" s="97"/>
      <c r="C17" s="98"/>
      <c r="D17" s="99"/>
      <c r="E17" s="99"/>
      <c r="F17" s="99"/>
      <c r="G17" s="100"/>
      <c r="H17" s="95"/>
      <c r="I17" s="96"/>
    </row>
    <row r="18" spans="1:9" ht="12.75">
      <c r="A18" s="72" t="s">
        <v>181</v>
      </c>
      <c r="B18" s="73">
        <v>0</v>
      </c>
      <c r="C18" s="74"/>
      <c r="D18" s="76"/>
      <c r="E18" s="76"/>
      <c r="F18" s="76"/>
      <c r="G18" s="77"/>
      <c r="H18" s="78"/>
      <c r="I18" s="79">
        <f aca="true" t="shared" si="2" ref="I18:I27">B18-SUM(C18:G18)</f>
        <v>0</v>
      </c>
    </row>
    <row r="19" spans="1:9" ht="12.75">
      <c r="A19" s="80" t="s">
        <v>182</v>
      </c>
      <c r="B19" s="81">
        <f>'Construction Cost'!B8+'Construction Cost'!B35</f>
        <v>820</v>
      </c>
      <c r="C19" s="82">
        <f>'Detailed Const S&amp;U'!C19</f>
        <v>205000</v>
      </c>
      <c r="D19" s="115"/>
      <c r="E19" s="115"/>
      <c r="F19" s="84"/>
      <c r="G19" s="85">
        <f>'Detailed Const S&amp;U'!F19</f>
        <v>2356</v>
      </c>
      <c r="H19" s="86"/>
      <c r="I19" s="87">
        <f t="shared" si="2"/>
        <v>-206536</v>
      </c>
    </row>
    <row r="20" spans="1:9" ht="12.75">
      <c r="A20" s="101" t="s">
        <v>221</v>
      </c>
      <c r="B20" s="102">
        <f>SUM('Construction Cost'!B7+'Construction Cost'!B9+'Construction Cost'!B10+'Construction Cost'!B11+'Construction Cost'!B12+'Construction Cost'!B13+'Construction Cost'!B14+'Construction Cost'!B15+'Construction Cost'!B16+'Construction Cost'!B17+'Construction Cost'!B18+'Construction Cost'!B19)</f>
        <v>4833</v>
      </c>
      <c r="C20" s="103">
        <f>'Detailed Const S&amp;U'!C20</f>
        <v>1090000</v>
      </c>
      <c r="D20" s="104">
        <f>'Detailed Const S&amp;U'!D20</f>
        <v>32625</v>
      </c>
      <c r="E20" s="104"/>
      <c r="F20" s="104"/>
      <c r="G20" s="105">
        <f>'Detailed Const S&amp;U'!F20</f>
        <v>1326</v>
      </c>
      <c r="H20" s="106"/>
      <c r="I20" s="107">
        <f t="shared" si="2"/>
        <v>-1119118</v>
      </c>
    </row>
    <row r="21" spans="1:9" ht="12.75">
      <c r="A21" s="108" t="s">
        <v>42</v>
      </c>
      <c r="B21" s="109">
        <f>'Construction Cost'!B25</f>
        <v>0</v>
      </c>
      <c r="C21" s="110"/>
      <c r="D21" s="111">
        <f>'Detailed Const S&amp;U'!D21</f>
        <v>5650</v>
      </c>
      <c r="E21" s="111">
        <f>'Detailed Const S&amp;U'!E21</f>
        <v>140000</v>
      </c>
      <c r="F21" s="111"/>
      <c r="G21" s="112"/>
      <c r="H21" s="113"/>
      <c r="I21" s="114">
        <f t="shared" si="2"/>
        <v>-145650</v>
      </c>
    </row>
    <row r="22" spans="1:9" ht="12.75">
      <c r="A22" s="80" t="s">
        <v>183</v>
      </c>
      <c r="B22" s="81">
        <f>'Construction Cost'!$B$28/2</f>
        <v>0</v>
      </c>
      <c r="C22" s="82"/>
      <c r="D22" s="115">
        <f>'Detailed Const S&amp;U'!D22</f>
        <v>0</v>
      </c>
      <c r="E22" s="115"/>
      <c r="F22" s="84"/>
      <c r="G22" s="85"/>
      <c r="H22" s="86"/>
      <c r="I22" s="87">
        <f t="shared" si="2"/>
        <v>0</v>
      </c>
    </row>
    <row r="23" spans="1:9" ht="12.75">
      <c r="A23" s="101" t="s">
        <v>184</v>
      </c>
      <c r="B23" s="81">
        <f>'Construction Cost'!$B$28/2</f>
        <v>0</v>
      </c>
      <c r="C23" s="103"/>
      <c r="D23" s="104">
        <f>'Detailed Const S&amp;U'!D23</f>
        <v>0</v>
      </c>
      <c r="E23" s="104"/>
      <c r="F23" s="104"/>
      <c r="G23" s="105"/>
      <c r="H23" s="106"/>
      <c r="I23" s="107">
        <f t="shared" si="2"/>
        <v>0</v>
      </c>
    </row>
    <row r="24" spans="1:9" ht="12.75">
      <c r="A24" s="108" t="s">
        <v>222</v>
      </c>
      <c r="B24" s="109">
        <v>0</v>
      </c>
      <c r="C24" s="110"/>
      <c r="D24" s="111"/>
      <c r="E24" s="111"/>
      <c r="F24" s="111"/>
      <c r="G24" s="112"/>
      <c r="H24" s="113"/>
      <c r="I24" s="114">
        <f t="shared" si="2"/>
        <v>0</v>
      </c>
    </row>
    <row r="25" spans="1:9" ht="12.75">
      <c r="A25" s="80" t="s">
        <v>223</v>
      </c>
      <c r="B25" s="81">
        <f>'Construction Cost'!B31</f>
        <v>0</v>
      </c>
      <c r="C25" s="82"/>
      <c r="D25" s="115">
        <f>'Detailed Const S&amp;U'!D25</f>
        <v>0</v>
      </c>
      <c r="E25" s="115"/>
      <c r="F25" s="84"/>
      <c r="G25" s="85"/>
      <c r="H25" s="86"/>
      <c r="I25" s="87">
        <f t="shared" si="2"/>
        <v>0</v>
      </c>
    </row>
    <row r="26" spans="1:9" ht="12.75">
      <c r="A26" s="101" t="s">
        <v>326</v>
      </c>
      <c r="B26" s="102">
        <f>'Construction Cost'!B22+'Sources and Uses of Funds Perm'!C20</f>
        <v>6294.5</v>
      </c>
      <c r="C26" s="103">
        <f>'Detailed Const S&amp;U'!C26</f>
        <v>85000</v>
      </c>
      <c r="D26" s="104">
        <f>'Detailed Const S&amp;U'!D26</f>
        <v>-179434.7</v>
      </c>
      <c r="E26" s="104">
        <f>'Detailed Const S&amp;U'!E26</f>
        <v>95000</v>
      </c>
      <c r="F26" s="104"/>
      <c r="G26" s="105"/>
      <c r="H26" s="106"/>
      <c r="I26" s="107">
        <f t="shared" si="2"/>
        <v>5729.200000000012</v>
      </c>
    </row>
    <row r="27" spans="1:9" ht="12.75">
      <c r="A27" s="108" t="s">
        <v>172</v>
      </c>
      <c r="B27" s="109">
        <f>'Sources and Uses of Funds Perm'!C27</f>
        <v>3786.9750000000004</v>
      </c>
      <c r="C27" s="110"/>
      <c r="D27" s="111">
        <f>'Detailed Const S&amp;U'!D27</f>
        <v>0</v>
      </c>
      <c r="E27" s="111"/>
      <c r="F27" s="111">
        <f>B27-D27</f>
        <v>3786.9750000000004</v>
      </c>
      <c r="G27" s="112"/>
      <c r="H27" s="113"/>
      <c r="I27" s="114">
        <f t="shared" si="2"/>
        <v>0</v>
      </c>
    </row>
    <row r="28" spans="1:9" ht="12.75">
      <c r="A28" s="88" t="s">
        <v>225</v>
      </c>
      <c r="B28" s="89">
        <f aca="true" t="shared" si="3" ref="B28:G28">SUM(B18:B27)</f>
        <v>15734.475</v>
      </c>
      <c r="C28" s="90">
        <f t="shared" si="3"/>
        <v>1380000</v>
      </c>
      <c r="D28" s="91">
        <f t="shared" si="3"/>
        <v>-141159.7</v>
      </c>
      <c r="E28" s="91">
        <f t="shared" si="3"/>
        <v>235000</v>
      </c>
      <c r="F28" s="91">
        <f t="shared" si="3"/>
        <v>3786.9750000000004</v>
      </c>
      <c r="G28" s="92">
        <f t="shared" si="3"/>
        <v>3682</v>
      </c>
      <c r="H28" s="93"/>
      <c r="I28" s="94"/>
    </row>
    <row r="29" spans="1:9" ht="12.75">
      <c r="A29" s="65"/>
      <c r="B29" s="81"/>
      <c r="C29" s="82"/>
      <c r="D29" s="84"/>
      <c r="E29" s="84"/>
      <c r="F29" s="84"/>
      <c r="G29" s="85"/>
      <c r="H29" s="95"/>
      <c r="I29" s="96"/>
    </row>
    <row r="30" spans="1:9" ht="12.75">
      <c r="A30" s="71" t="s">
        <v>226</v>
      </c>
      <c r="B30" s="97"/>
      <c r="C30" s="98"/>
      <c r="D30" s="99"/>
      <c r="E30" s="99"/>
      <c r="F30" s="99"/>
      <c r="G30" s="100"/>
      <c r="H30" s="95"/>
      <c r="I30" s="96"/>
    </row>
    <row r="31" spans="1:9" ht="12.75">
      <c r="A31" s="72" t="s">
        <v>38</v>
      </c>
      <c r="B31" s="73" t="e">
        <f>'Sources and Uses of Funds Perm'!#REF!</f>
        <v>#REF!</v>
      </c>
      <c r="C31" s="74"/>
      <c r="D31" s="76"/>
      <c r="E31" s="76"/>
      <c r="F31" s="76"/>
      <c r="G31" s="77"/>
      <c r="H31" s="78"/>
      <c r="I31" s="79" t="e">
        <f aca="true" t="shared" si="4" ref="I31:I39">B31-SUM(C31:G31)</f>
        <v>#REF!</v>
      </c>
    </row>
    <row r="32" spans="1:9" ht="12.75">
      <c r="A32" s="80" t="s">
        <v>185</v>
      </c>
      <c r="B32" s="81" t="e">
        <f>'Sources and Uses of Funds Perm'!#REF!</f>
        <v>#REF!</v>
      </c>
      <c r="C32" s="82"/>
      <c r="D32" s="84"/>
      <c r="E32" s="84"/>
      <c r="F32" s="84"/>
      <c r="G32" s="85"/>
      <c r="H32" s="86"/>
      <c r="I32" s="87" t="e">
        <f t="shared" si="4"/>
        <v>#REF!</v>
      </c>
    </row>
    <row r="33" spans="1:9" ht="12.75">
      <c r="A33" s="101" t="s">
        <v>227</v>
      </c>
      <c r="B33" s="102">
        <v>0</v>
      </c>
      <c r="C33" s="103"/>
      <c r="D33" s="104"/>
      <c r="E33" s="104"/>
      <c r="F33" s="104"/>
      <c r="G33" s="105"/>
      <c r="H33" s="106"/>
      <c r="I33" s="107">
        <f t="shared" si="4"/>
        <v>0</v>
      </c>
    </row>
    <row r="34" spans="1:9" ht="12.75">
      <c r="A34" s="108" t="s">
        <v>228</v>
      </c>
      <c r="B34" s="109">
        <v>0</v>
      </c>
      <c r="C34" s="110"/>
      <c r="D34" s="111"/>
      <c r="E34" s="111"/>
      <c r="F34" s="111"/>
      <c r="G34" s="112"/>
      <c r="H34" s="113"/>
      <c r="I34" s="114">
        <f t="shared" si="4"/>
        <v>0</v>
      </c>
    </row>
    <row r="35" spans="1:9" ht="12.75">
      <c r="A35" s="80" t="s">
        <v>186</v>
      </c>
      <c r="B35" s="81">
        <v>0</v>
      </c>
      <c r="C35" s="82"/>
      <c r="D35" s="84"/>
      <c r="E35" s="84"/>
      <c r="F35" s="84"/>
      <c r="G35" s="85"/>
      <c r="H35" s="86"/>
      <c r="I35" s="87">
        <f t="shared" si="4"/>
        <v>0</v>
      </c>
    </row>
    <row r="36" spans="1:9" ht="12.75">
      <c r="A36" s="101" t="s">
        <v>229</v>
      </c>
      <c r="B36" s="102">
        <f>'Sources and Uses of Funds Const'!C33-B37</f>
        <v>3000</v>
      </c>
      <c r="C36" s="103"/>
      <c r="D36" s="104">
        <f>B36</f>
        <v>3000</v>
      </c>
      <c r="E36" s="104"/>
      <c r="F36" s="104"/>
      <c r="G36" s="105"/>
      <c r="H36" s="106"/>
      <c r="I36" s="107">
        <f t="shared" si="4"/>
        <v>0</v>
      </c>
    </row>
    <row r="37" spans="1:9" ht="12.75">
      <c r="A37" s="108" t="s">
        <v>187</v>
      </c>
      <c r="B37" s="109">
        <v>6382</v>
      </c>
      <c r="C37" s="110"/>
      <c r="D37" s="111">
        <f>B37</f>
        <v>6382</v>
      </c>
      <c r="E37" s="111"/>
      <c r="F37" s="111"/>
      <c r="G37" s="112"/>
      <c r="H37" s="113"/>
      <c r="I37" s="114">
        <f t="shared" si="4"/>
        <v>0</v>
      </c>
    </row>
    <row r="38" spans="1:9" ht="12.75">
      <c r="A38" s="80" t="s">
        <v>230</v>
      </c>
      <c r="B38" s="81"/>
      <c r="C38" s="82"/>
      <c r="D38" s="84"/>
      <c r="E38" s="84"/>
      <c r="F38" s="84"/>
      <c r="G38" s="85"/>
      <c r="H38" s="86"/>
      <c r="I38" s="87">
        <f t="shared" si="4"/>
        <v>0</v>
      </c>
    </row>
    <row r="39" spans="1:9" ht="12.75">
      <c r="A39" s="80" t="s">
        <v>231</v>
      </c>
      <c r="B39" s="81" t="e">
        <f>'Sources and Uses of Funds Perm'!#REF!</f>
        <v>#REF!</v>
      </c>
      <c r="C39" s="82"/>
      <c r="D39" s="84">
        <f>'Detailed Const S&amp;U'!D39</f>
        <v>4500</v>
      </c>
      <c r="E39" s="84"/>
      <c r="F39" s="84"/>
      <c r="G39" s="85"/>
      <c r="H39" s="86"/>
      <c r="I39" s="87" t="e">
        <f t="shared" si="4"/>
        <v>#REF!</v>
      </c>
    </row>
    <row r="40" spans="1:9" ht="12.75">
      <c r="A40" s="88" t="s">
        <v>232</v>
      </c>
      <c r="B40" s="89" t="e">
        <f aca="true" t="shared" si="5" ref="B40:G40">SUM(B31:B39)</f>
        <v>#REF!</v>
      </c>
      <c r="C40" s="90">
        <f t="shared" si="5"/>
        <v>0</v>
      </c>
      <c r="D40" s="91">
        <f t="shared" si="5"/>
        <v>13882</v>
      </c>
      <c r="E40" s="91">
        <f t="shared" si="5"/>
        <v>0</v>
      </c>
      <c r="F40" s="91">
        <f t="shared" si="5"/>
        <v>0</v>
      </c>
      <c r="G40" s="92">
        <f t="shared" si="5"/>
        <v>0</v>
      </c>
      <c r="H40" s="93"/>
      <c r="I40" s="94"/>
    </row>
    <row r="41" spans="1:9" ht="12.75">
      <c r="A41" s="96"/>
      <c r="B41" s="81"/>
      <c r="C41" s="82"/>
      <c r="D41" s="115"/>
      <c r="E41" s="115"/>
      <c r="F41" s="115"/>
      <c r="G41" s="85"/>
      <c r="H41" s="95"/>
      <c r="I41" s="96"/>
    </row>
    <row r="42" spans="1:9" ht="12.75">
      <c r="A42" s="71" t="s">
        <v>233</v>
      </c>
      <c r="B42" s="97"/>
      <c r="C42" s="98"/>
      <c r="D42" s="99"/>
      <c r="E42" s="99"/>
      <c r="F42" s="99"/>
      <c r="G42" s="100"/>
      <c r="H42" s="116"/>
      <c r="I42" s="117"/>
    </row>
    <row r="43" spans="1:9" ht="12.75">
      <c r="A43" s="80" t="s">
        <v>234</v>
      </c>
      <c r="B43" s="81">
        <v>0</v>
      </c>
      <c r="C43" s="82"/>
      <c r="D43" s="84"/>
      <c r="E43" s="84"/>
      <c r="F43" s="84"/>
      <c r="G43" s="85"/>
      <c r="H43" s="86"/>
      <c r="I43" s="87">
        <f aca="true" t="shared" si="6" ref="I43:I48">B43-SUM(C43:G43)</f>
        <v>0</v>
      </c>
    </row>
    <row r="44" spans="1:9" ht="12.75">
      <c r="A44" s="80" t="s">
        <v>157</v>
      </c>
      <c r="B44" s="81" t="e">
        <f>'Sources and Uses of Funds Perm'!#REF!</f>
        <v>#REF!</v>
      </c>
      <c r="C44" s="82"/>
      <c r="D44" s="84">
        <f>'Detailed Const S&amp;U'!D44</f>
        <v>1652</v>
      </c>
      <c r="E44" s="84"/>
      <c r="F44" s="84" t="e">
        <f>B44-D44</f>
        <v>#REF!</v>
      </c>
      <c r="G44" s="85"/>
      <c r="H44" s="86"/>
      <c r="I44" s="87" t="e">
        <f t="shared" si="6"/>
        <v>#REF!</v>
      </c>
    </row>
    <row r="45" spans="1:9" ht="12.75">
      <c r="A45" s="80" t="s">
        <v>235</v>
      </c>
      <c r="B45" s="81">
        <v>0</v>
      </c>
      <c r="C45" s="82"/>
      <c r="D45" s="84"/>
      <c r="E45" s="84"/>
      <c r="F45" s="84"/>
      <c r="G45" s="85"/>
      <c r="H45" s="86"/>
      <c r="I45" s="87">
        <f t="shared" si="6"/>
        <v>0</v>
      </c>
    </row>
    <row r="46" spans="1:9" ht="12.75">
      <c r="A46" s="101" t="s">
        <v>279</v>
      </c>
      <c r="B46" s="102" t="e">
        <f>'Sources and Uses of Funds Perm'!#REF!</f>
        <v>#REF!</v>
      </c>
      <c r="C46" s="103"/>
      <c r="D46" s="104"/>
      <c r="E46" s="104"/>
      <c r="F46" s="104" t="e">
        <f>B46</f>
        <v>#REF!</v>
      </c>
      <c r="G46" s="105"/>
      <c r="H46" s="106"/>
      <c r="I46" s="107" t="e">
        <f t="shared" si="6"/>
        <v>#REF!</v>
      </c>
    </row>
    <row r="47" spans="1:9" ht="12.75">
      <c r="A47" s="108" t="s">
        <v>188</v>
      </c>
      <c r="B47" s="109">
        <v>0</v>
      </c>
      <c r="C47" s="110"/>
      <c r="D47" s="111"/>
      <c r="E47" s="111"/>
      <c r="F47" s="111"/>
      <c r="G47" s="112"/>
      <c r="H47" s="113"/>
      <c r="I47" s="114">
        <f t="shared" si="6"/>
        <v>0</v>
      </c>
    </row>
    <row r="48" spans="1:9" ht="12.75">
      <c r="A48" s="80" t="s">
        <v>189</v>
      </c>
      <c r="B48" s="81">
        <v>0</v>
      </c>
      <c r="C48" s="82"/>
      <c r="D48" s="84"/>
      <c r="E48" s="84"/>
      <c r="F48" s="84"/>
      <c r="G48" s="85"/>
      <c r="H48" s="86"/>
      <c r="I48" s="87">
        <f t="shared" si="6"/>
        <v>0</v>
      </c>
    </row>
    <row r="49" spans="1:9" ht="12.75">
      <c r="A49" s="88" t="s">
        <v>236</v>
      </c>
      <c r="B49" s="89" t="e">
        <f aca="true" t="shared" si="7" ref="B49:G49">SUM(B43:B48)</f>
        <v>#REF!</v>
      </c>
      <c r="C49" s="90">
        <f t="shared" si="7"/>
        <v>0</v>
      </c>
      <c r="D49" s="91">
        <f t="shared" si="7"/>
        <v>1652</v>
      </c>
      <c r="E49" s="91">
        <f t="shared" si="7"/>
        <v>0</v>
      </c>
      <c r="F49" s="91" t="e">
        <f t="shared" si="7"/>
        <v>#REF!</v>
      </c>
      <c r="G49" s="92">
        <f t="shared" si="7"/>
        <v>0</v>
      </c>
      <c r="H49" s="93"/>
      <c r="I49" s="94"/>
    </row>
    <row r="50" spans="1:9" ht="12.75">
      <c r="A50" s="96"/>
      <c r="B50" s="81"/>
      <c r="C50" s="82"/>
      <c r="D50" s="115"/>
      <c r="E50" s="115"/>
      <c r="F50" s="115"/>
      <c r="G50" s="85"/>
      <c r="H50" s="95"/>
      <c r="I50" s="96"/>
    </row>
    <row r="51" spans="1:9" ht="12.75">
      <c r="A51" s="71" t="s">
        <v>237</v>
      </c>
      <c r="B51" s="97"/>
      <c r="C51" s="98"/>
      <c r="D51" s="99"/>
      <c r="E51" s="99"/>
      <c r="F51" s="99"/>
      <c r="G51" s="100"/>
      <c r="H51" s="116"/>
      <c r="I51" s="117"/>
    </row>
    <row r="52" spans="1:9" ht="12.75">
      <c r="A52" s="80" t="s">
        <v>238</v>
      </c>
      <c r="B52" s="81">
        <f>Consultants!C11+Consultants!C13</f>
        <v>0</v>
      </c>
      <c r="C52" s="82"/>
      <c r="D52" s="84">
        <f>'Detailed Const S&amp;U'!D52</f>
        <v>0</v>
      </c>
      <c r="E52" s="84"/>
      <c r="F52" s="84"/>
      <c r="G52" s="85"/>
      <c r="H52" s="86"/>
      <c r="I52" s="87">
        <f>B52-SUM(C52:G52)</f>
        <v>0</v>
      </c>
    </row>
    <row r="53" spans="1:9" ht="12.75">
      <c r="A53" s="80" t="s">
        <v>281</v>
      </c>
      <c r="B53" s="81">
        <f>Consultants!D11+Consultants!D13</f>
        <v>0</v>
      </c>
      <c r="C53" s="82"/>
      <c r="D53" s="84">
        <f>'Detailed Const S&amp;U'!D53</f>
        <v>-5819</v>
      </c>
      <c r="E53" s="84"/>
      <c r="F53" s="84"/>
      <c r="G53" s="85">
        <f>'Detailed Const S&amp;U'!F53</f>
        <v>5819</v>
      </c>
      <c r="H53" s="86"/>
      <c r="I53" s="87">
        <f>B53-SUM(C53:G53)</f>
        <v>0</v>
      </c>
    </row>
    <row r="54" spans="1:9" ht="12.75">
      <c r="A54" s="101" t="s">
        <v>239</v>
      </c>
      <c r="B54" s="102" t="e">
        <f>'Detailed Const S&amp;U'!B54</f>
        <v>#REF!</v>
      </c>
      <c r="C54" s="103"/>
      <c r="D54" s="104" t="e">
        <f>'Detailed Const S&amp;U'!D54</f>
        <v>#REF!</v>
      </c>
      <c r="E54" s="104"/>
      <c r="F54" s="104"/>
      <c r="G54" s="105">
        <f>'Detailed Const S&amp;U'!F54</f>
        <v>25400</v>
      </c>
      <c r="H54" s="106"/>
      <c r="I54" s="107" t="e">
        <f>B54-SUM(C54:G54)</f>
        <v>#REF!</v>
      </c>
    </row>
    <row r="55" spans="1:9" ht="12.75">
      <c r="A55" s="108" t="s">
        <v>240</v>
      </c>
      <c r="B55" s="109">
        <f>'Sources and Uses of Funds Perm'!C18</f>
        <v>0</v>
      </c>
      <c r="C55" s="110"/>
      <c r="D55" s="111"/>
      <c r="E55" s="111"/>
      <c r="F55" s="111"/>
      <c r="G55" s="112">
        <f>'Detailed Const S&amp;U'!F55</f>
        <v>525</v>
      </c>
      <c r="H55" s="113"/>
      <c r="I55" s="114">
        <f>B55-SUM(C55:G55)</f>
        <v>-525</v>
      </c>
    </row>
    <row r="56" spans="1:9" ht="12.75">
      <c r="A56" s="88" t="s">
        <v>241</v>
      </c>
      <c r="B56" s="89" t="e">
        <f aca="true" t="shared" si="8" ref="B56:G56">SUM(B52:B55)</f>
        <v>#REF!</v>
      </c>
      <c r="C56" s="90">
        <f t="shared" si="8"/>
        <v>0</v>
      </c>
      <c r="D56" s="91" t="e">
        <f t="shared" si="8"/>
        <v>#REF!</v>
      </c>
      <c r="E56" s="91">
        <f t="shared" si="8"/>
        <v>0</v>
      </c>
      <c r="F56" s="91">
        <f t="shared" si="8"/>
        <v>0</v>
      </c>
      <c r="G56" s="92">
        <f t="shared" si="8"/>
        <v>31744</v>
      </c>
      <c r="H56" s="93"/>
      <c r="I56" s="94"/>
    </row>
    <row r="57" spans="1:9" ht="12.75">
      <c r="A57" s="96"/>
      <c r="B57" s="81"/>
      <c r="C57" s="82"/>
      <c r="D57" s="115"/>
      <c r="E57" s="115"/>
      <c r="F57" s="115"/>
      <c r="G57" s="85"/>
      <c r="H57" s="95"/>
      <c r="I57" s="96"/>
    </row>
    <row r="58" spans="1:9" ht="12.75">
      <c r="A58" s="71" t="s">
        <v>242</v>
      </c>
      <c r="B58" s="97"/>
      <c r="C58" s="98"/>
      <c r="D58" s="99"/>
      <c r="E58" s="99"/>
      <c r="F58" s="99"/>
      <c r="G58" s="100"/>
      <c r="H58" s="116"/>
      <c r="I58" s="117"/>
    </row>
    <row r="59" spans="1:9" ht="12.75">
      <c r="A59" s="80" t="s">
        <v>286</v>
      </c>
      <c r="B59" s="81" t="e">
        <f>'Sources and Uses of Funds Perm'!#REF!</f>
        <v>#REF!</v>
      </c>
      <c r="C59" s="82"/>
      <c r="D59" s="84" t="e">
        <f>B59</f>
        <v>#REF!</v>
      </c>
      <c r="E59" s="84"/>
      <c r="F59" s="84"/>
      <c r="G59" s="85"/>
      <c r="H59" s="86"/>
      <c r="I59" s="87" t="e">
        <f>B59-SUM(C59:G59)</f>
        <v>#REF!</v>
      </c>
    </row>
    <row r="60" spans="1:9" ht="12.75">
      <c r="A60" s="80" t="s">
        <v>190</v>
      </c>
      <c r="B60" s="81">
        <v>0</v>
      </c>
      <c r="C60" s="82"/>
      <c r="D60" s="84"/>
      <c r="E60" s="84"/>
      <c r="F60" s="84"/>
      <c r="G60" s="85"/>
      <c r="H60" s="86"/>
      <c r="I60" s="87">
        <f>B60-SUM(C60:G60)</f>
        <v>0</v>
      </c>
    </row>
    <row r="61" spans="1:9" ht="12.75">
      <c r="A61" s="101" t="s">
        <v>191</v>
      </c>
      <c r="B61" s="102">
        <v>0</v>
      </c>
      <c r="C61" s="103"/>
      <c r="D61" s="104"/>
      <c r="E61" s="104"/>
      <c r="F61" s="104"/>
      <c r="G61" s="105"/>
      <c r="H61" s="106"/>
      <c r="I61" s="107">
        <f>B61-SUM(C61:G61)</f>
        <v>0</v>
      </c>
    </row>
    <row r="62" spans="1:9" ht="12.75">
      <c r="A62" s="108" t="s">
        <v>192</v>
      </c>
      <c r="B62" s="109">
        <f>'Sources and Uses of Funds Perm'!C22</f>
        <v>1500</v>
      </c>
      <c r="C62" s="110"/>
      <c r="D62" s="111">
        <f>'Detailed Const S&amp;U'!D62</f>
        <v>11000</v>
      </c>
      <c r="E62" s="111"/>
      <c r="F62" s="111">
        <f>B62-D62</f>
        <v>-9500</v>
      </c>
      <c r="G62" s="112"/>
      <c r="H62" s="113"/>
      <c r="I62" s="114">
        <f>B62-SUM(C62:G62)</f>
        <v>0</v>
      </c>
    </row>
    <row r="63" spans="1:9" ht="12.75">
      <c r="A63" s="80" t="s">
        <v>243</v>
      </c>
      <c r="B63" s="81">
        <v>0</v>
      </c>
      <c r="C63" s="82"/>
      <c r="D63" s="84"/>
      <c r="E63" s="84"/>
      <c r="F63" s="84"/>
      <c r="G63" s="85"/>
      <c r="H63" s="86"/>
      <c r="I63" s="87">
        <f>B63-SUM(C63:G63)</f>
        <v>0</v>
      </c>
    </row>
    <row r="64" spans="1:9" ht="12.75">
      <c r="A64" s="88" t="s">
        <v>193</v>
      </c>
      <c r="B64" s="89" t="e">
        <f aca="true" t="shared" si="9" ref="B64:G64">SUM(B59:B63)</f>
        <v>#REF!</v>
      </c>
      <c r="C64" s="90">
        <f t="shared" si="9"/>
        <v>0</v>
      </c>
      <c r="D64" s="91" t="e">
        <f t="shared" si="9"/>
        <v>#REF!</v>
      </c>
      <c r="E64" s="91">
        <f t="shared" si="9"/>
        <v>0</v>
      </c>
      <c r="F64" s="91">
        <f t="shared" si="9"/>
        <v>-9500</v>
      </c>
      <c r="G64" s="92">
        <f t="shared" si="9"/>
        <v>0</v>
      </c>
      <c r="H64" s="93"/>
      <c r="I64" s="94"/>
    </row>
    <row r="65" spans="1:9" ht="12.75">
      <c r="A65" s="96"/>
      <c r="B65" s="81"/>
      <c r="C65" s="82"/>
      <c r="D65" s="115"/>
      <c r="E65" s="115"/>
      <c r="F65" s="115"/>
      <c r="G65" s="85"/>
      <c r="H65" s="95"/>
      <c r="I65" s="96"/>
    </row>
    <row r="66" spans="1:9" ht="12.75">
      <c r="A66" s="71" t="s">
        <v>244</v>
      </c>
      <c r="B66" s="97"/>
      <c r="C66" s="98"/>
      <c r="D66" s="99"/>
      <c r="E66" s="99"/>
      <c r="F66" s="99"/>
      <c r="G66" s="100"/>
      <c r="H66" s="116"/>
      <c r="I66" s="117"/>
    </row>
    <row r="67" spans="1:9" ht="12.75">
      <c r="A67" s="80" t="s">
        <v>108</v>
      </c>
      <c r="B67" s="81" t="e">
        <f>'Sources and Uses of Funds Perm'!#REF!</f>
        <v>#REF!</v>
      </c>
      <c r="C67" s="82"/>
      <c r="D67" s="84"/>
      <c r="E67" s="84"/>
      <c r="F67" s="84" t="e">
        <f>B67</f>
        <v>#REF!</v>
      </c>
      <c r="G67" s="85"/>
      <c r="H67" s="86"/>
      <c r="I67" s="79" t="e">
        <f>B67-SUM(C67:G67)</f>
        <v>#REF!</v>
      </c>
    </row>
    <row r="68" spans="1:9" ht="12.75">
      <c r="A68" s="80" t="s">
        <v>86</v>
      </c>
      <c r="B68" s="81">
        <v>0</v>
      </c>
      <c r="C68" s="82"/>
      <c r="D68" s="84"/>
      <c r="E68" s="84"/>
      <c r="F68" s="84"/>
      <c r="G68" s="85"/>
      <c r="H68" s="86"/>
      <c r="I68" s="87">
        <f>B68-SUM(C68:G68)</f>
        <v>0</v>
      </c>
    </row>
    <row r="69" spans="1:9" ht="12.75">
      <c r="A69" s="80" t="s">
        <v>194</v>
      </c>
      <c r="B69" s="81">
        <v>0</v>
      </c>
      <c r="C69" s="82"/>
      <c r="D69" s="84"/>
      <c r="E69" s="84"/>
      <c r="F69" s="84"/>
      <c r="G69" s="85"/>
      <c r="H69" s="86"/>
      <c r="I69" s="87">
        <f>B69-SUM(C69:G69)</f>
        <v>0</v>
      </c>
    </row>
    <row r="70" spans="1:9" ht="12.75">
      <c r="A70" s="88" t="s">
        <v>245</v>
      </c>
      <c r="B70" s="89" t="e">
        <f aca="true" t="shared" si="10" ref="B70:G70">SUM(B67:B69)</f>
        <v>#REF!</v>
      </c>
      <c r="C70" s="90">
        <f t="shared" si="10"/>
        <v>0</v>
      </c>
      <c r="D70" s="91">
        <f t="shared" si="10"/>
        <v>0</v>
      </c>
      <c r="E70" s="91">
        <f t="shared" si="10"/>
        <v>0</v>
      </c>
      <c r="F70" s="91" t="e">
        <f t="shared" si="10"/>
        <v>#REF!</v>
      </c>
      <c r="G70" s="92">
        <f t="shared" si="10"/>
        <v>0</v>
      </c>
      <c r="H70" s="93"/>
      <c r="I70" s="94"/>
    </row>
    <row r="71" spans="1:9" ht="12.75">
      <c r="A71" s="96"/>
      <c r="B71" s="81"/>
      <c r="C71" s="82"/>
      <c r="D71" s="115"/>
      <c r="E71" s="115"/>
      <c r="F71" s="115"/>
      <c r="G71" s="85"/>
      <c r="H71" s="95"/>
      <c r="I71" s="96"/>
    </row>
    <row r="72" spans="1:9" ht="12.75">
      <c r="A72" s="71" t="s">
        <v>246</v>
      </c>
      <c r="B72" s="97"/>
      <c r="C72" s="98"/>
      <c r="D72" s="99"/>
      <c r="E72" s="99"/>
      <c r="F72" s="99"/>
      <c r="G72" s="100"/>
      <c r="H72" s="116"/>
      <c r="I72" s="117"/>
    </row>
    <row r="73" spans="1:9" ht="12.75">
      <c r="A73" s="80" t="s">
        <v>195</v>
      </c>
      <c r="B73" s="81">
        <f>'Sources and Uses of Funds Perm'!C19</f>
        <v>0</v>
      </c>
      <c r="C73" s="82"/>
      <c r="D73" s="84">
        <f>'Detailed Const S&amp;U'!D73</f>
        <v>0</v>
      </c>
      <c r="E73" s="84"/>
      <c r="F73" s="84"/>
      <c r="G73" s="85"/>
      <c r="H73" s="86"/>
      <c r="I73" s="79">
        <f>B73-SUM(C73:G73)</f>
        <v>0</v>
      </c>
    </row>
    <row r="74" spans="1:9" ht="12.75">
      <c r="A74" s="80" t="s">
        <v>196</v>
      </c>
      <c r="B74" s="81">
        <v>0</v>
      </c>
      <c r="C74" s="82"/>
      <c r="D74" s="84"/>
      <c r="E74" s="84"/>
      <c r="F74" s="84"/>
      <c r="G74" s="85"/>
      <c r="H74" s="86"/>
      <c r="I74" s="87">
        <f>B74-SUM(C74:G74)</f>
        <v>0</v>
      </c>
    </row>
    <row r="75" spans="1:9" ht="12.75">
      <c r="A75" s="101" t="s">
        <v>197</v>
      </c>
      <c r="B75" s="102">
        <v>0</v>
      </c>
      <c r="C75" s="103"/>
      <c r="D75" s="104"/>
      <c r="E75" s="104"/>
      <c r="F75" s="104"/>
      <c r="G75" s="105"/>
      <c r="H75" s="106"/>
      <c r="I75" s="107">
        <f>B75-SUM(C75:G75)</f>
        <v>0</v>
      </c>
    </row>
    <row r="76" spans="1:9" ht="12.75">
      <c r="A76" s="108" t="s">
        <v>247</v>
      </c>
      <c r="B76" s="109">
        <v>0</v>
      </c>
      <c r="C76" s="110"/>
      <c r="D76" s="111"/>
      <c r="E76" s="111"/>
      <c r="F76" s="111"/>
      <c r="G76" s="112"/>
      <c r="H76" s="113"/>
      <c r="I76" s="114">
        <f>B76-SUM(C76:G76)</f>
        <v>0</v>
      </c>
    </row>
    <row r="77" spans="1:9" ht="12.75">
      <c r="A77" s="88" t="s">
        <v>198</v>
      </c>
      <c r="B77" s="89">
        <f aca="true" t="shared" si="11" ref="B77:G77">SUM(B73:B76)</f>
        <v>0</v>
      </c>
      <c r="C77" s="90">
        <f t="shared" si="11"/>
        <v>0</v>
      </c>
      <c r="D77" s="91">
        <f t="shared" si="11"/>
        <v>0</v>
      </c>
      <c r="E77" s="91">
        <f t="shared" si="11"/>
        <v>0</v>
      </c>
      <c r="F77" s="91">
        <f t="shared" si="11"/>
        <v>0</v>
      </c>
      <c r="G77" s="92">
        <f t="shared" si="11"/>
        <v>0</v>
      </c>
      <c r="H77" s="93"/>
      <c r="I77" s="94"/>
    </row>
    <row r="78" spans="1:9" ht="12.75">
      <c r="A78" s="96"/>
      <c r="B78" s="81"/>
      <c r="C78" s="82"/>
      <c r="D78" s="115"/>
      <c r="E78" s="115"/>
      <c r="F78" s="115"/>
      <c r="G78" s="85"/>
      <c r="H78" s="95"/>
      <c r="I78" s="96"/>
    </row>
    <row r="79" spans="1:9" ht="12.75">
      <c r="A79" s="71" t="s">
        <v>248</v>
      </c>
      <c r="B79" s="97"/>
      <c r="C79" s="98"/>
      <c r="D79" s="99"/>
      <c r="E79" s="99"/>
      <c r="F79" s="99"/>
      <c r="G79" s="100"/>
      <c r="H79" s="116"/>
      <c r="I79" s="117"/>
    </row>
    <row r="80" spans="1:9" ht="12.75">
      <c r="A80" s="80" t="s">
        <v>249</v>
      </c>
      <c r="B80" s="81">
        <f>'Sources and Uses of Funds Perm'!C26</f>
        <v>60000</v>
      </c>
      <c r="C80" s="82"/>
      <c r="D80" s="84">
        <f>'Detailed Const S&amp;U'!D80</f>
        <v>0</v>
      </c>
      <c r="E80" s="84"/>
      <c r="F80" s="84">
        <f>B80-D80</f>
        <v>60000</v>
      </c>
      <c r="G80" s="85"/>
      <c r="H80" s="86"/>
      <c r="I80" s="79">
        <f aca="true" t="shared" si="12" ref="I80:I86">B80-SUM(C80:G80)</f>
        <v>0</v>
      </c>
    </row>
    <row r="81" spans="1:9" ht="12.75">
      <c r="A81" s="80" t="s">
        <v>250</v>
      </c>
      <c r="B81" s="81" t="e">
        <f>'Sources and Uses of Funds Perm'!#REF!</f>
        <v>#REF!</v>
      </c>
      <c r="C81" s="82"/>
      <c r="D81" s="84">
        <f>'Detailed Const S&amp;U'!D81</f>
        <v>20000</v>
      </c>
      <c r="E81" s="84"/>
      <c r="F81" s="84" t="e">
        <f>B81-D81</f>
        <v>#REF!</v>
      </c>
      <c r="G81" s="85"/>
      <c r="H81" s="86"/>
      <c r="I81" s="87" t="e">
        <f t="shared" si="12"/>
        <v>#REF!</v>
      </c>
    </row>
    <row r="82" spans="1:9" ht="12.75">
      <c r="A82" s="101" t="s">
        <v>251</v>
      </c>
      <c r="B82" s="102" t="e">
        <f>'Sources and Uses of Funds Perm'!#REF!++'Sources and Uses of Funds Perm'!C13</f>
        <v>#REF!</v>
      </c>
      <c r="C82" s="103"/>
      <c r="D82" s="104">
        <f>'Detailed Const S&amp;U'!D82</f>
        <v>15000</v>
      </c>
      <c r="E82" s="104"/>
      <c r="F82" s="104"/>
      <c r="G82" s="105"/>
      <c r="H82" s="106"/>
      <c r="I82" s="107" t="e">
        <f t="shared" si="12"/>
        <v>#REF!</v>
      </c>
    </row>
    <row r="83" spans="1:9" ht="12.75">
      <c r="A83" s="108" t="s">
        <v>202</v>
      </c>
      <c r="B83" s="109"/>
      <c r="C83" s="110"/>
      <c r="D83" s="111">
        <f>'Detailed Const S&amp;U'!D83</f>
        <v>0</v>
      </c>
      <c r="E83" s="111"/>
      <c r="F83" s="111"/>
      <c r="G83" s="112"/>
      <c r="H83" s="113"/>
      <c r="I83" s="114">
        <f t="shared" si="12"/>
        <v>0</v>
      </c>
    </row>
    <row r="84" spans="1:9" ht="12.75">
      <c r="A84" s="80" t="s">
        <v>203</v>
      </c>
      <c r="B84" s="81">
        <v>0</v>
      </c>
      <c r="C84" s="82"/>
      <c r="D84" s="84"/>
      <c r="E84" s="84"/>
      <c r="F84" s="84"/>
      <c r="G84" s="85"/>
      <c r="H84" s="86"/>
      <c r="I84" s="87">
        <f t="shared" si="12"/>
        <v>0</v>
      </c>
    </row>
    <row r="85" spans="1:9" ht="12.75">
      <c r="A85" s="101" t="s">
        <v>252</v>
      </c>
      <c r="B85" s="102">
        <v>0</v>
      </c>
      <c r="C85" s="103"/>
      <c r="D85" s="104"/>
      <c r="E85" s="104"/>
      <c r="F85" s="104"/>
      <c r="G85" s="105"/>
      <c r="H85" s="106"/>
      <c r="I85" s="107">
        <f t="shared" si="12"/>
        <v>0</v>
      </c>
    </row>
    <row r="86" spans="1:9" ht="12.75">
      <c r="A86" s="108" t="s">
        <v>204</v>
      </c>
      <c r="B86" s="109">
        <v>0</v>
      </c>
      <c r="C86" s="110"/>
      <c r="D86" s="111"/>
      <c r="E86" s="111"/>
      <c r="F86" s="111"/>
      <c r="G86" s="112"/>
      <c r="H86" s="113"/>
      <c r="I86" s="114">
        <f t="shared" si="12"/>
        <v>0</v>
      </c>
    </row>
    <row r="87" spans="1:9" ht="12.75">
      <c r="A87" s="88" t="s">
        <v>205</v>
      </c>
      <c r="B87" s="89" t="e">
        <f aca="true" t="shared" si="13" ref="B87:G87">SUM(B80:B86)</f>
        <v>#REF!</v>
      </c>
      <c r="C87" s="90">
        <f t="shared" si="13"/>
        <v>0</v>
      </c>
      <c r="D87" s="91">
        <f t="shared" si="13"/>
        <v>35000</v>
      </c>
      <c r="E87" s="91">
        <f t="shared" si="13"/>
        <v>0</v>
      </c>
      <c r="F87" s="91" t="e">
        <f t="shared" si="13"/>
        <v>#REF!</v>
      </c>
      <c r="G87" s="92">
        <f t="shared" si="13"/>
        <v>0</v>
      </c>
      <c r="H87" s="93"/>
      <c r="I87" s="94"/>
    </row>
    <row r="88" spans="1:9" ht="12.75">
      <c r="A88" s="96"/>
      <c r="B88" s="81"/>
      <c r="C88" s="82"/>
      <c r="D88" s="115"/>
      <c r="E88" s="115"/>
      <c r="F88" s="115"/>
      <c r="G88" s="85"/>
      <c r="H88" s="95"/>
      <c r="I88" s="96"/>
    </row>
    <row r="89" spans="1:9" ht="12.75">
      <c r="A89" s="71" t="s">
        <v>253</v>
      </c>
      <c r="B89" s="97"/>
      <c r="C89" s="98"/>
      <c r="D89" s="99"/>
      <c r="E89" s="99"/>
      <c r="F89" s="99"/>
      <c r="G89" s="100"/>
      <c r="H89" s="116"/>
      <c r="I89" s="117"/>
    </row>
    <row r="90" spans="1:9" ht="12.75">
      <c r="A90" s="80" t="s">
        <v>254</v>
      </c>
      <c r="B90" s="81">
        <v>0</v>
      </c>
      <c r="C90" s="82"/>
      <c r="D90" s="84"/>
      <c r="E90" s="84"/>
      <c r="F90" s="84"/>
      <c r="G90" s="85"/>
      <c r="H90" s="86"/>
      <c r="I90" s="79">
        <f aca="true" t="shared" si="14" ref="I90:I97">B90-SUM(C90:G90)</f>
        <v>0</v>
      </c>
    </row>
    <row r="91" spans="1:9" ht="12.75">
      <c r="A91" s="80" t="s">
        <v>199</v>
      </c>
      <c r="B91" s="81">
        <v>0</v>
      </c>
      <c r="C91" s="82"/>
      <c r="D91" s="84"/>
      <c r="E91" s="84"/>
      <c r="F91" s="84"/>
      <c r="G91" s="85"/>
      <c r="H91" s="86"/>
      <c r="I91" s="87">
        <f t="shared" si="14"/>
        <v>0</v>
      </c>
    </row>
    <row r="92" spans="1:9" ht="12.75">
      <c r="A92" s="101" t="s">
        <v>255</v>
      </c>
      <c r="B92" s="102">
        <f>'Sources and Uses of Funds Perm'!C23</f>
        <v>0</v>
      </c>
      <c r="C92" s="103"/>
      <c r="D92" s="104">
        <f>'Detailed Const S&amp;U'!D92</f>
        <v>48856.28</v>
      </c>
      <c r="E92" s="104"/>
      <c r="F92" s="104"/>
      <c r="G92" s="105"/>
      <c r="H92" s="106"/>
      <c r="I92" s="107">
        <f t="shared" si="14"/>
        <v>-48856.28</v>
      </c>
    </row>
    <row r="93" spans="1:9" ht="12.75">
      <c r="A93" s="108" t="s">
        <v>34</v>
      </c>
      <c r="B93" s="109" t="e">
        <f>'Sources and Uses of Funds Perm'!#REF!</f>
        <v>#REF!</v>
      </c>
      <c r="C93" s="110"/>
      <c r="D93" s="111">
        <f>'Detailed Const S&amp;U'!D93</f>
        <v>35460.72</v>
      </c>
      <c r="E93" s="111"/>
      <c r="F93" s="111"/>
      <c r="G93" s="112"/>
      <c r="H93" s="113"/>
      <c r="I93" s="114" t="e">
        <f t="shared" si="14"/>
        <v>#REF!</v>
      </c>
    </row>
    <row r="94" spans="1:9" ht="12.75">
      <c r="A94" s="80" t="s">
        <v>256</v>
      </c>
      <c r="B94" s="81">
        <v>0</v>
      </c>
      <c r="C94" s="82"/>
      <c r="D94" s="84"/>
      <c r="E94" s="84"/>
      <c r="F94" s="84"/>
      <c r="G94" s="85"/>
      <c r="H94" s="86"/>
      <c r="I94" s="87">
        <f t="shared" si="14"/>
        <v>0</v>
      </c>
    </row>
    <row r="95" spans="1:9" ht="12.75">
      <c r="A95" s="101" t="s">
        <v>200</v>
      </c>
      <c r="B95" s="102">
        <v>0</v>
      </c>
      <c r="C95" s="103"/>
      <c r="D95" s="104"/>
      <c r="E95" s="104"/>
      <c r="F95" s="104"/>
      <c r="G95" s="105"/>
      <c r="H95" s="106"/>
      <c r="I95" s="107">
        <f t="shared" si="14"/>
        <v>0</v>
      </c>
    </row>
    <row r="96" spans="1:9" ht="12.75">
      <c r="A96" s="108" t="s">
        <v>201</v>
      </c>
      <c r="B96" s="109">
        <f>'Sources and Uses of Funds Perm'!C24</f>
        <v>0</v>
      </c>
      <c r="C96" s="110"/>
      <c r="D96" s="111"/>
      <c r="E96" s="111"/>
      <c r="F96" s="111">
        <f>B96</f>
        <v>0</v>
      </c>
      <c r="G96" s="112"/>
      <c r="H96" s="113"/>
      <c r="I96" s="114">
        <f t="shared" si="14"/>
        <v>0</v>
      </c>
    </row>
    <row r="97" spans="1:9" ht="12.75">
      <c r="A97" s="80" t="s">
        <v>257</v>
      </c>
      <c r="B97" s="81">
        <f>'Sources and Uses of Funds Perm'!C25</f>
        <v>0</v>
      </c>
      <c r="C97" s="82"/>
      <c r="D97" s="84"/>
      <c r="E97" s="84"/>
      <c r="F97" s="84">
        <f>B97</f>
        <v>0</v>
      </c>
      <c r="G97" s="85"/>
      <c r="H97" s="86"/>
      <c r="I97" s="87">
        <f t="shared" si="14"/>
        <v>0</v>
      </c>
    </row>
    <row r="98" spans="1:9" ht="12.75">
      <c r="A98" s="88" t="s">
        <v>258</v>
      </c>
      <c r="B98" s="89" t="e">
        <f aca="true" t="shared" si="15" ref="B98:G98">SUM(B90:B97)</f>
        <v>#REF!</v>
      </c>
      <c r="C98" s="90">
        <f t="shared" si="15"/>
        <v>0</v>
      </c>
      <c r="D98" s="91">
        <f t="shared" si="15"/>
        <v>84317</v>
      </c>
      <c r="E98" s="91">
        <f t="shared" si="15"/>
        <v>0</v>
      </c>
      <c r="F98" s="91">
        <f t="shared" si="15"/>
        <v>0</v>
      </c>
      <c r="G98" s="92">
        <f t="shared" si="15"/>
        <v>0</v>
      </c>
      <c r="H98" s="93"/>
      <c r="I98" s="94"/>
    </row>
    <row r="99" spans="1:9" ht="12.75">
      <c r="A99" s="65"/>
      <c r="B99" s="118"/>
      <c r="C99" s="119"/>
      <c r="D99" s="65"/>
      <c r="E99" s="65"/>
      <c r="F99" s="65"/>
      <c r="G99" s="96"/>
      <c r="H99" s="95"/>
      <c r="I99" s="96"/>
    </row>
    <row r="100" spans="1:9" ht="13.5" thickBot="1">
      <c r="A100" s="88" t="s">
        <v>259</v>
      </c>
      <c r="B100" s="120" t="e">
        <f aca="true" t="shared" si="16" ref="B100:G100">SUM(B98,B87,B77,B70,B64,B56,B49,B40,B28,B15,B10)</f>
        <v>#REF!</v>
      </c>
      <c r="C100" s="121">
        <f t="shared" si="16"/>
        <v>1380000</v>
      </c>
      <c r="D100" s="122" t="e">
        <f t="shared" si="16"/>
        <v>#REF!</v>
      </c>
      <c r="E100" s="122">
        <f t="shared" si="16"/>
        <v>235000</v>
      </c>
      <c r="F100" s="122" t="e">
        <f t="shared" si="16"/>
        <v>#REF!</v>
      </c>
      <c r="G100" s="123">
        <f t="shared" si="16"/>
        <v>35426</v>
      </c>
      <c r="H100" s="124"/>
      <c r="I100" s="65"/>
    </row>
    <row r="101" spans="1:9" ht="12.75">
      <c r="A101" s="159" t="s">
        <v>280</v>
      </c>
      <c r="B101" s="161">
        <f>'Sources and Uses of Funds Perm'!C28</f>
        <v>818526.475</v>
      </c>
      <c r="C101" s="160" t="e">
        <f>'Sources and Uses of Funds Perm'!#REF!</f>
        <v>#REF!</v>
      </c>
      <c r="D101" s="160">
        <v>570003</v>
      </c>
      <c r="E101" s="160">
        <v>235000</v>
      </c>
      <c r="F101" s="160" t="e">
        <f>'Sources and Uses of Funds Perm'!#REF!</f>
        <v>#REF!</v>
      </c>
      <c r="G101" s="160" t="e">
        <f>'Sources and Uses of Funds Perm'!#REF!</f>
        <v>#REF!</v>
      </c>
      <c r="H101" s="142"/>
      <c r="I101" s="65"/>
    </row>
    <row r="102" spans="1:9" ht="12.75">
      <c r="A102" s="125"/>
      <c r="B102" s="65"/>
      <c r="C102" s="65"/>
      <c r="D102" s="65"/>
      <c r="E102" s="65"/>
      <c r="F102" s="65"/>
      <c r="G102" s="65"/>
      <c r="H102" s="65"/>
      <c r="I102" s="65"/>
    </row>
    <row r="103" spans="1:9" ht="12.75">
      <c r="A103" s="475" t="s">
        <v>260</v>
      </c>
      <c r="B103" s="476"/>
      <c r="C103" s="126" t="s">
        <v>261</v>
      </c>
      <c r="D103" s="126" t="s">
        <v>262</v>
      </c>
      <c r="E103" s="126" t="s">
        <v>262</v>
      </c>
      <c r="F103" s="126" t="s">
        <v>262</v>
      </c>
      <c r="G103" s="126" t="s">
        <v>261</v>
      </c>
      <c r="H103" s="126"/>
      <c r="I103" s="65"/>
    </row>
    <row r="104" spans="1:9" ht="12.75">
      <c r="A104" s="475" t="s">
        <v>263</v>
      </c>
      <c r="B104" s="477"/>
      <c r="C104" s="126" t="s">
        <v>264</v>
      </c>
      <c r="D104" s="126" t="s">
        <v>265</v>
      </c>
      <c r="E104" s="126" t="s">
        <v>265</v>
      </c>
      <c r="F104" s="126" t="s">
        <v>266</v>
      </c>
      <c r="G104" s="126" t="s">
        <v>264</v>
      </c>
      <c r="H104" s="126"/>
      <c r="I104" s="65"/>
    </row>
    <row r="105" spans="1:9" ht="12.75">
      <c r="A105" s="127"/>
      <c r="B105" s="127"/>
      <c r="C105" s="65"/>
      <c r="D105" s="65"/>
      <c r="E105" s="65"/>
      <c r="F105" s="65"/>
      <c r="G105" s="65"/>
      <c r="H105" s="65"/>
      <c r="I105" s="65"/>
    </row>
    <row r="106" spans="1:9" ht="15">
      <c r="A106" s="125"/>
      <c r="B106" s="128" t="s">
        <v>267</v>
      </c>
      <c r="C106" s="65"/>
      <c r="D106" s="65"/>
      <c r="E106" s="65"/>
      <c r="F106" s="65"/>
      <c r="G106" s="65"/>
      <c r="H106" s="65"/>
      <c r="I106" s="65"/>
    </row>
    <row r="107" spans="1:9" ht="12.75">
      <c r="A107" s="492" t="s">
        <v>282</v>
      </c>
      <c r="B107" s="493"/>
      <c r="C107" s="129"/>
      <c r="D107" s="129"/>
      <c r="E107" s="129"/>
      <c r="F107" s="129">
        <v>5</v>
      </c>
      <c r="G107" s="129"/>
      <c r="H107" s="130"/>
      <c r="I107" s="65"/>
    </row>
    <row r="108" spans="1:9" ht="12.75">
      <c r="A108" s="490" t="s">
        <v>268</v>
      </c>
      <c r="B108" s="491"/>
      <c r="C108" s="129"/>
      <c r="D108" s="129"/>
      <c r="E108" s="129"/>
      <c r="F108" s="129">
        <v>20</v>
      </c>
      <c r="G108" s="129"/>
      <c r="H108" s="130"/>
      <c r="I108" s="65"/>
    </row>
    <row r="109" spans="1:9" ht="12.75">
      <c r="A109" s="490" t="s">
        <v>269</v>
      </c>
      <c r="B109" s="491"/>
      <c r="C109" s="129"/>
      <c r="D109" s="129"/>
      <c r="E109" s="129" t="s">
        <v>297</v>
      </c>
      <c r="F109" s="131">
        <v>0.07</v>
      </c>
      <c r="G109" s="129"/>
      <c r="H109" s="130"/>
      <c r="I109" s="65"/>
    </row>
    <row r="110" spans="1:9" ht="12.75">
      <c r="A110" s="490" t="s">
        <v>270</v>
      </c>
      <c r="B110" s="491"/>
      <c r="C110" s="129"/>
      <c r="D110" s="129"/>
      <c r="E110" s="129"/>
      <c r="F110" s="129" t="s">
        <v>271</v>
      </c>
      <c r="G110" s="129"/>
      <c r="H110" s="130"/>
      <c r="I110" s="65"/>
    </row>
    <row r="111" spans="1:9" ht="12.75">
      <c r="A111" s="490" t="s">
        <v>272</v>
      </c>
      <c r="B111" s="491"/>
      <c r="C111" s="129"/>
      <c r="D111" s="129"/>
      <c r="E111" s="129"/>
      <c r="F111" s="129"/>
      <c r="G111" s="129"/>
      <c r="H111" s="130"/>
      <c r="I111" s="65"/>
    </row>
    <row r="112" spans="1:9" ht="12.75">
      <c r="A112" s="490" t="s">
        <v>273</v>
      </c>
      <c r="B112" s="491"/>
      <c r="C112" s="129"/>
      <c r="D112" s="129"/>
      <c r="E112" s="129"/>
      <c r="F112" s="129"/>
      <c r="G112" s="129"/>
      <c r="H112" s="130"/>
      <c r="I112" s="65"/>
    </row>
    <row r="113" spans="1:9" ht="12.75">
      <c r="A113" s="494" t="s">
        <v>274</v>
      </c>
      <c r="B113" s="495"/>
      <c r="C113" s="129"/>
      <c r="D113" s="129"/>
      <c r="E113" s="129"/>
      <c r="F113" s="129">
        <v>10</v>
      </c>
      <c r="G113" s="129"/>
      <c r="H113" s="130"/>
      <c r="I113" s="65"/>
    </row>
    <row r="114" spans="1:9" ht="12.75">
      <c r="A114" s="475"/>
      <c r="B114" s="477"/>
      <c r="C114" s="65"/>
      <c r="D114" s="65"/>
      <c r="E114" s="65"/>
      <c r="F114" s="65"/>
      <c r="G114" s="65"/>
      <c r="H114" s="65"/>
      <c r="I114" s="65"/>
    </row>
    <row r="115" spans="1:8" ht="12.75">
      <c r="A115" s="148"/>
      <c r="B115" s="146"/>
      <c r="C115" s="146"/>
      <c r="D115" s="146"/>
      <c r="E115" s="146"/>
      <c r="F115" s="147"/>
      <c r="G115" s="147"/>
      <c r="H115" s="146"/>
    </row>
    <row r="116" spans="1:8" ht="12.75">
      <c r="A116" s="149"/>
      <c r="B116" s="146"/>
      <c r="C116" s="146"/>
      <c r="D116" s="146"/>
      <c r="E116" s="146"/>
      <c r="F116" s="147"/>
      <c r="G116" s="147"/>
      <c r="H116" s="146"/>
    </row>
    <row r="117" spans="1:8" ht="12.75">
      <c r="A117" s="149"/>
      <c r="B117" s="146"/>
      <c r="C117" s="146"/>
      <c r="D117" s="146"/>
      <c r="E117" s="146"/>
      <c r="F117" s="147"/>
      <c r="G117" s="147"/>
      <c r="H117" s="146"/>
    </row>
    <row r="118" spans="1:8" ht="12.75">
      <c r="A118" s="149"/>
      <c r="B118" s="146"/>
      <c r="C118" s="146"/>
      <c r="D118" s="147"/>
      <c r="E118" s="147"/>
      <c r="F118" s="147"/>
      <c r="G118" s="147"/>
      <c r="H118" s="146"/>
    </row>
    <row r="119" spans="1:8" ht="12.75">
      <c r="A119" s="145"/>
      <c r="B119" s="150"/>
      <c r="C119" s="146"/>
      <c r="D119" s="147"/>
      <c r="E119" s="147"/>
      <c r="F119" s="151"/>
      <c r="G119" s="151"/>
      <c r="H119" s="150"/>
    </row>
    <row r="120" spans="1:8" ht="12.75">
      <c r="A120" s="145"/>
      <c r="B120" s="146"/>
      <c r="C120" s="146"/>
      <c r="D120" s="147"/>
      <c r="E120" s="147"/>
      <c r="F120" s="147"/>
      <c r="G120" s="147"/>
      <c r="H120" s="146"/>
    </row>
    <row r="121" spans="1:8" ht="12.75">
      <c r="A121" s="152"/>
      <c r="B121" s="153"/>
      <c r="C121" s="154"/>
      <c r="D121" s="147"/>
      <c r="E121" s="147"/>
      <c r="F121" s="151"/>
      <c r="G121" s="151"/>
      <c r="H121" s="146"/>
    </row>
    <row r="122" spans="1:8" ht="12.75">
      <c r="A122" s="145"/>
      <c r="B122" s="146"/>
      <c r="C122" s="146"/>
      <c r="D122" s="147"/>
      <c r="E122" s="147"/>
      <c r="F122" s="147"/>
      <c r="G122" s="147"/>
      <c r="H122" s="146"/>
    </row>
    <row r="123" spans="1:8" ht="12.75">
      <c r="A123" s="488"/>
      <c r="B123" s="489"/>
      <c r="C123" s="489"/>
      <c r="D123" s="489"/>
      <c r="E123" s="489"/>
      <c r="F123" s="489"/>
      <c r="G123" s="489"/>
      <c r="H123" s="489"/>
    </row>
    <row r="124" spans="1:8" ht="12.75">
      <c r="A124" s="155"/>
      <c r="B124" s="146"/>
      <c r="C124" s="146"/>
      <c r="D124" s="146"/>
      <c r="E124" s="146"/>
      <c r="F124" s="147"/>
      <c r="G124" s="147"/>
      <c r="H124" s="146"/>
    </row>
    <row r="125" spans="1:8" ht="12.75">
      <c r="A125" s="155"/>
      <c r="B125" s="146"/>
      <c r="C125" s="146"/>
      <c r="D125" s="146"/>
      <c r="E125" s="146"/>
      <c r="F125" s="147"/>
      <c r="G125" s="147"/>
      <c r="H125" s="146"/>
    </row>
    <row r="126" spans="1:8" ht="12.75">
      <c r="A126" s="155"/>
      <c r="B126" s="146"/>
      <c r="C126" s="146"/>
      <c r="D126" s="146"/>
      <c r="E126" s="146"/>
      <c r="F126" s="147"/>
      <c r="G126" s="147"/>
      <c r="H126" s="146"/>
    </row>
    <row r="127" spans="1:8" ht="12.75">
      <c r="A127" s="148"/>
      <c r="B127" s="146"/>
      <c r="C127" s="146"/>
      <c r="D127" s="146"/>
      <c r="E127" s="146"/>
      <c r="F127" s="147"/>
      <c r="G127" s="147"/>
      <c r="H127" s="146"/>
    </row>
    <row r="128" spans="1:8" ht="12.75">
      <c r="A128" s="155"/>
      <c r="B128" s="146"/>
      <c r="C128" s="146"/>
      <c r="D128" s="146"/>
      <c r="E128" s="146"/>
      <c r="F128" s="147"/>
      <c r="G128" s="147"/>
      <c r="H128" s="146"/>
    </row>
    <row r="129" spans="1:8" ht="12.75">
      <c r="A129" s="155"/>
      <c r="B129" s="146"/>
      <c r="C129" s="146"/>
      <c r="D129" s="146"/>
      <c r="E129" s="146"/>
      <c r="F129" s="147"/>
      <c r="G129" s="147"/>
      <c r="H129" s="146"/>
    </row>
    <row r="130" spans="1:8" ht="12.75">
      <c r="A130" s="148"/>
      <c r="B130" s="146"/>
      <c r="C130" s="146"/>
      <c r="D130" s="146"/>
      <c r="E130" s="146"/>
      <c r="F130" s="147"/>
      <c r="G130" s="147"/>
      <c r="H130" s="146"/>
    </row>
    <row r="131" spans="1:8" ht="12.75">
      <c r="A131" s="149"/>
      <c r="B131" s="146"/>
      <c r="C131" s="146"/>
      <c r="D131" s="147"/>
      <c r="E131" s="147"/>
      <c r="F131" s="147"/>
      <c r="G131" s="147"/>
      <c r="H131" s="146"/>
    </row>
    <row r="132" spans="1:8" ht="12.75">
      <c r="A132" s="145"/>
      <c r="B132" s="150"/>
      <c r="C132" s="146"/>
      <c r="D132" s="147"/>
      <c r="E132" s="147"/>
      <c r="F132" s="151"/>
      <c r="G132" s="151"/>
      <c r="H132" s="146"/>
    </row>
    <row r="133" spans="1:8" ht="12.75">
      <c r="A133" s="156"/>
      <c r="B133" s="157"/>
      <c r="C133" s="157"/>
      <c r="D133" s="157"/>
      <c r="E133" s="157"/>
      <c r="F133" s="157"/>
      <c r="G133" s="157"/>
      <c r="H133" s="157"/>
    </row>
    <row r="134" spans="1:8" ht="12.75">
      <c r="A134" s="152"/>
      <c r="B134" s="150"/>
      <c r="C134" s="146"/>
      <c r="D134" s="146"/>
      <c r="E134" s="146"/>
      <c r="F134" s="150"/>
      <c r="G134" s="150"/>
      <c r="H134" s="150"/>
    </row>
    <row r="144" ht="12.75"/>
  </sheetData>
  <sheetProtection/>
  <mergeCells count="20">
    <mergeCell ref="A113:B113"/>
    <mergeCell ref="A114:B114"/>
    <mergeCell ref="A112:B112"/>
    <mergeCell ref="F1:H1"/>
    <mergeCell ref="C3:G3"/>
    <mergeCell ref="B4:B5"/>
    <mergeCell ref="C4:C5"/>
    <mergeCell ref="D4:D5"/>
    <mergeCell ref="F4:F5"/>
    <mergeCell ref="E4:E5"/>
    <mergeCell ref="I4:I5"/>
    <mergeCell ref="A109:B109"/>
    <mergeCell ref="A110:B110"/>
    <mergeCell ref="A111:B111"/>
    <mergeCell ref="G4:G5"/>
    <mergeCell ref="A123:H123"/>
    <mergeCell ref="A103:B103"/>
    <mergeCell ref="A104:B104"/>
    <mergeCell ref="A107:B107"/>
    <mergeCell ref="A108:B108"/>
  </mergeCells>
  <printOptions/>
  <pageMargins left="0.75" right="0.25" top="1" bottom="1" header="0.5" footer="0.5"/>
  <pageSetup fitToHeight="0" fitToWidth="0" horizontalDpi="600" verticalDpi="600" orientation="portrait" scale="74" r:id="rId3"/>
  <rowBreaks count="1" manualBreakCount="1">
    <brk id="65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9"/>
  <sheetViews>
    <sheetView tabSelected="1" view="pageBreakPreview" zoomScaleSheetLayoutView="100" zoomScalePageLayoutView="0" workbookViewId="0" topLeftCell="B6">
      <selection activeCell="G6" sqref="G6"/>
    </sheetView>
  </sheetViews>
  <sheetFormatPr defaultColWidth="8.8515625" defaultRowHeight="12.75"/>
  <cols>
    <col min="1" max="1" width="30.00390625" style="214" customWidth="1"/>
    <col min="2" max="2" width="11.28125" style="214" customWidth="1"/>
    <col min="3" max="4" width="12.140625" style="213" customWidth="1"/>
    <col min="5" max="5" width="12.00390625" style="213" customWidth="1"/>
    <col min="6" max="7" width="12.140625" style="213" customWidth="1"/>
    <col min="8" max="8" width="12.7109375" style="213" customWidth="1"/>
    <col min="9" max="9" width="12.57421875" style="213" customWidth="1"/>
    <col min="10" max="10" width="12.7109375" style="213" customWidth="1"/>
    <col min="11" max="11" width="13.140625" style="213" customWidth="1"/>
    <col min="12" max="12" width="12.7109375" style="213" customWidth="1"/>
    <col min="13" max="14" width="12.28125" style="214" customWidth="1"/>
    <col min="15" max="16" width="12.140625" style="214" customWidth="1"/>
    <col min="17" max="17" width="12.8515625" style="214" customWidth="1"/>
    <col min="18" max="21" width="9.57421875" style="214" customWidth="1"/>
    <col min="22" max="23" width="9.421875" style="214" customWidth="1"/>
    <col min="24" max="24" width="10.8515625" style="214" customWidth="1"/>
    <col min="25" max="25" width="10.7109375" style="214" customWidth="1"/>
    <col min="26" max="27" width="10.8515625" style="214" customWidth="1"/>
    <col min="28" max="31" width="10.7109375" style="214" customWidth="1"/>
    <col min="32" max="32" width="11.00390625" style="214" bestFit="1" customWidth="1"/>
    <col min="33" max="57" width="0" style="214" hidden="1" customWidth="1"/>
    <col min="58" max="16384" width="8.8515625" style="214" customWidth="1"/>
  </cols>
  <sheetData>
    <row r="1" ht="12.75">
      <c r="A1" s="211" t="str">
        <f>'Rents with Section 8'!A1</f>
        <v>Sutters Mill Court WITH SECTION 8</v>
      </c>
    </row>
    <row r="2" ht="12.75">
      <c r="A2" s="215">
        <f>'Rents with Section 8'!A2</f>
        <v>40975</v>
      </c>
    </row>
    <row r="4" spans="1:3" ht="12.75">
      <c r="A4" s="276" t="s">
        <v>422</v>
      </c>
      <c r="B4" s="214">
        <f>'Rents with Section 8'!B13</f>
        <v>5</v>
      </c>
      <c r="C4" s="213" t="s">
        <v>94</v>
      </c>
    </row>
    <row r="6" spans="1:3" ht="12.75">
      <c r="A6" s="211" t="s">
        <v>19</v>
      </c>
      <c r="B6" s="212"/>
      <c r="C6" s="332"/>
    </row>
    <row r="7" spans="1:3" ht="12.75">
      <c r="A7" s="212" t="s">
        <v>406</v>
      </c>
      <c r="B7" s="258">
        <f>990000-'Sources and Uses of Funds Perm'!C28</f>
        <v>171473.52500000002</v>
      </c>
      <c r="C7" s="332"/>
    </row>
    <row r="8" spans="1:3" ht="12.75">
      <c r="A8" s="212" t="s">
        <v>407</v>
      </c>
      <c r="B8" s="335">
        <v>0.03</v>
      </c>
      <c r="C8" s="332"/>
    </row>
    <row r="9" spans="1:4" ht="12.75">
      <c r="A9" s="212" t="s">
        <v>20</v>
      </c>
      <c r="B9" s="335">
        <v>0.025</v>
      </c>
      <c r="C9" s="333"/>
      <c r="D9" s="334"/>
    </row>
    <row r="10" spans="1:2" ht="12.75">
      <c r="A10" s="212" t="s">
        <v>21</v>
      </c>
      <c r="B10" s="335">
        <v>0.035</v>
      </c>
    </row>
    <row r="11" spans="1:2" ht="12.75">
      <c r="A11" s="212" t="s">
        <v>424</v>
      </c>
      <c r="B11" s="335">
        <v>0.05</v>
      </c>
    </row>
    <row r="12" spans="1:2" ht="12.75">
      <c r="A12" s="212"/>
      <c r="B12" s="335"/>
    </row>
    <row r="13" spans="1:57" s="337" customFormat="1" ht="12.75">
      <c r="A13" s="347"/>
      <c r="B13" s="496" t="s">
        <v>423</v>
      </c>
      <c r="C13" s="348" t="s">
        <v>78</v>
      </c>
      <c r="D13" s="349" t="s">
        <v>78</v>
      </c>
      <c r="E13" s="349" t="s">
        <v>78</v>
      </c>
      <c r="F13" s="349" t="s">
        <v>78</v>
      </c>
      <c r="G13" s="349" t="s">
        <v>78</v>
      </c>
      <c r="H13" s="349" t="s">
        <v>78</v>
      </c>
      <c r="I13" s="349" t="s">
        <v>78</v>
      </c>
      <c r="J13" s="349" t="s">
        <v>78</v>
      </c>
      <c r="K13" s="349" t="s">
        <v>78</v>
      </c>
      <c r="L13" s="349" t="s">
        <v>78</v>
      </c>
      <c r="M13" s="349" t="s">
        <v>78</v>
      </c>
      <c r="N13" s="349" t="s">
        <v>78</v>
      </c>
      <c r="O13" s="349" t="s">
        <v>78</v>
      </c>
      <c r="P13" s="349" t="s">
        <v>78</v>
      </c>
      <c r="Q13" s="349" t="s">
        <v>78</v>
      </c>
      <c r="AG13" s="336" t="s">
        <v>78</v>
      </c>
      <c r="AH13" s="336" t="s">
        <v>78</v>
      </c>
      <c r="AI13" s="336" t="s">
        <v>78</v>
      </c>
      <c r="AJ13" s="336" t="s">
        <v>78</v>
      </c>
      <c r="AK13" s="336" t="s">
        <v>78</v>
      </c>
      <c r="AL13" s="336" t="s">
        <v>78</v>
      </c>
      <c r="AM13" s="336" t="s">
        <v>78</v>
      </c>
      <c r="AN13" s="336" t="s">
        <v>78</v>
      </c>
      <c r="AO13" s="336" t="s">
        <v>78</v>
      </c>
      <c r="AP13" s="336" t="s">
        <v>78</v>
      </c>
      <c r="AQ13" s="336" t="s">
        <v>78</v>
      </c>
      <c r="AR13" s="336" t="s">
        <v>78</v>
      </c>
      <c r="AS13" s="336" t="s">
        <v>78</v>
      </c>
      <c r="AT13" s="336" t="s">
        <v>78</v>
      </c>
      <c r="AU13" s="336" t="s">
        <v>78</v>
      </c>
      <c r="AV13" s="336" t="s">
        <v>78</v>
      </c>
      <c r="AW13" s="336" t="s">
        <v>78</v>
      </c>
      <c r="AX13" s="336" t="s">
        <v>78</v>
      </c>
      <c r="AY13" s="336" t="s">
        <v>78</v>
      </c>
      <c r="AZ13" s="336" t="s">
        <v>78</v>
      </c>
      <c r="BA13" s="336" t="s">
        <v>78</v>
      </c>
      <c r="BB13" s="336" t="s">
        <v>78</v>
      </c>
      <c r="BC13" s="336" t="s">
        <v>78</v>
      </c>
      <c r="BD13" s="336" t="s">
        <v>78</v>
      </c>
      <c r="BE13" s="336" t="s">
        <v>78</v>
      </c>
    </row>
    <row r="14" spans="1:57" s="337" customFormat="1" ht="38.25" customHeight="1">
      <c r="A14" s="361"/>
      <c r="B14" s="497"/>
      <c r="C14" s="351">
        <v>1</v>
      </c>
      <c r="D14" s="352">
        <f aca="true" t="shared" si="0" ref="D14:Q14">C14+1</f>
        <v>2</v>
      </c>
      <c r="E14" s="352">
        <f t="shared" si="0"/>
        <v>3</v>
      </c>
      <c r="F14" s="352">
        <f t="shared" si="0"/>
        <v>4</v>
      </c>
      <c r="G14" s="352">
        <f t="shared" si="0"/>
        <v>5</v>
      </c>
      <c r="H14" s="352">
        <f t="shared" si="0"/>
        <v>6</v>
      </c>
      <c r="I14" s="352">
        <f t="shared" si="0"/>
        <v>7</v>
      </c>
      <c r="J14" s="352">
        <f t="shared" si="0"/>
        <v>8</v>
      </c>
      <c r="K14" s="352">
        <f t="shared" si="0"/>
        <v>9</v>
      </c>
      <c r="L14" s="352">
        <f t="shared" si="0"/>
        <v>10</v>
      </c>
      <c r="M14" s="352">
        <f t="shared" si="0"/>
        <v>11</v>
      </c>
      <c r="N14" s="352">
        <f t="shared" si="0"/>
        <v>12</v>
      </c>
      <c r="O14" s="352">
        <f t="shared" si="0"/>
        <v>13</v>
      </c>
      <c r="P14" s="352">
        <f t="shared" si="0"/>
        <v>14</v>
      </c>
      <c r="Q14" s="352">
        <f t="shared" si="0"/>
        <v>15</v>
      </c>
      <c r="AG14" s="338">
        <f>Q45+1</f>
        <v>31</v>
      </c>
      <c r="AH14" s="338">
        <f>AG14+1</f>
        <v>32</v>
      </c>
      <c r="AI14" s="338">
        <f aca="true" t="shared" si="1" ref="AI14:AY14">AH14+1</f>
        <v>33</v>
      </c>
      <c r="AJ14" s="338">
        <f t="shared" si="1"/>
        <v>34</v>
      </c>
      <c r="AK14" s="338">
        <f t="shared" si="1"/>
        <v>35</v>
      </c>
      <c r="AL14" s="338">
        <f t="shared" si="1"/>
        <v>36</v>
      </c>
      <c r="AM14" s="338">
        <f t="shared" si="1"/>
        <v>37</v>
      </c>
      <c r="AN14" s="338">
        <f t="shared" si="1"/>
        <v>38</v>
      </c>
      <c r="AO14" s="338">
        <f t="shared" si="1"/>
        <v>39</v>
      </c>
      <c r="AP14" s="338">
        <f t="shared" si="1"/>
        <v>40</v>
      </c>
      <c r="AQ14" s="338">
        <f t="shared" si="1"/>
        <v>41</v>
      </c>
      <c r="AR14" s="338">
        <f t="shared" si="1"/>
        <v>42</v>
      </c>
      <c r="AS14" s="338">
        <f t="shared" si="1"/>
        <v>43</v>
      </c>
      <c r="AT14" s="338">
        <f t="shared" si="1"/>
        <v>44</v>
      </c>
      <c r="AU14" s="338">
        <f t="shared" si="1"/>
        <v>45</v>
      </c>
      <c r="AV14" s="338">
        <f t="shared" si="1"/>
        <v>46</v>
      </c>
      <c r="AW14" s="338">
        <f t="shared" si="1"/>
        <v>47</v>
      </c>
      <c r="AX14" s="338">
        <f t="shared" si="1"/>
        <v>48</v>
      </c>
      <c r="AY14" s="338">
        <f t="shared" si="1"/>
        <v>49</v>
      </c>
      <c r="AZ14" s="338">
        <f aca="true" t="shared" si="2" ref="AZ14:BE14">AY14+1</f>
        <v>50</v>
      </c>
      <c r="BA14" s="338">
        <f t="shared" si="2"/>
        <v>51</v>
      </c>
      <c r="BB14" s="338">
        <f t="shared" si="2"/>
        <v>52</v>
      </c>
      <c r="BC14" s="338">
        <f t="shared" si="2"/>
        <v>53</v>
      </c>
      <c r="BD14" s="338">
        <f t="shared" si="2"/>
        <v>54</v>
      </c>
      <c r="BE14" s="338">
        <f t="shared" si="2"/>
        <v>55</v>
      </c>
    </row>
    <row r="15" spans="1:57" ht="8.25" customHeight="1">
      <c r="A15" s="228"/>
      <c r="B15" s="228"/>
      <c r="C15" s="340"/>
      <c r="D15" s="341"/>
      <c r="E15" s="341"/>
      <c r="F15" s="341"/>
      <c r="G15" s="341"/>
      <c r="H15" s="341"/>
      <c r="I15" s="341"/>
      <c r="J15" s="341"/>
      <c r="K15" s="341"/>
      <c r="L15" s="341"/>
      <c r="M15" s="339"/>
      <c r="N15" s="339"/>
      <c r="O15" s="339"/>
      <c r="P15" s="339"/>
      <c r="Q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1"/>
    </row>
    <row r="16" spans="1:57" ht="12.75">
      <c r="A16" s="269" t="s">
        <v>399</v>
      </c>
      <c r="B16" s="243">
        <f>'Rents with Section 8'!F13/12/5</f>
        <v>422.6</v>
      </c>
      <c r="C16" s="264">
        <f>'Operating Budget'!C8</f>
        <v>25356</v>
      </c>
      <c r="D16" s="258">
        <f>C16*(1+$B$9)</f>
        <v>25989.899999999998</v>
      </c>
      <c r="E16" s="258">
        <f aca="true" t="shared" si="3" ref="E16:L16">D16*(1+$B$9)</f>
        <v>26639.647499999995</v>
      </c>
      <c r="F16" s="258">
        <f t="shared" si="3"/>
        <v>27305.63868749999</v>
      </c>
      <c r="G16" s="258">
        <f t="shared" si="3"/>
        <v>27988.27965468749</v>
      </c>
      <c r="H16" s="258">
        <f t="shared" si="3"/>
        <v>28687.986646054673</v>
      </c>
      <c r="I16" s="258">
        <f t="shared" si="3"/>
        <v>29405.18631220604</v>
      </c>
      <c r="J16" s="258">
        <f t="shared" si="3"/>
        <v>30140.315970011186</v>
      </c>
      <c r="K16" s="258">
        <f t="shared" si="3"/>
        <v>30893.823869261465</v>
      </c>
      <c r="L16" s="258">
        <f t="shared" si="3"/>
        <v>31666.169465993</v>
      </c>
      <c r="M16" s="258">
        <f>L16*(1+$B$9)</f>
        <v>32457.82370264282</v>
      </c>
      <c r="N16" s="258">
        <f>M16*(1+$B$9)</f>
        <v>33269.26929520889</v>
      </c>
      <c r="O16" s="258">
        <f>N16*(1+$B$9)</f>
        <v>34101.00102758911</v>
      </c>
      <c r="P16" s="258">
        <f>O16*(1+$B$9)</f>
        <v>34953.52605327884</v>
      </c>
      <c r="Q16" s="258">
        <f>P16*(1+$B$9)</f>
        <v>35827.36420461081</v>
      </c>
      <c r="AG16" s="222">
        <f>Q47*(1+$B$9)</f>
        <v>53185.92353519778</v>
      </c>
      <c r="AH16" s="222">
        <f>AG16*(1+$B$9)</f>
        <v>54515.571623577714</v>
      </c>
      <c r="AI16" s="222">
        <f aca="true" t="shared" si="4" ref="AI16:AY16">AH16*(1+$B$9)</f>
        <v>55878.46091416715</v>
      </c>
      <c r="AJ16" s="222">
        <f t="shared" si="4"/>
        <v>57275.42243702133</v>
      </c>
      <c r="AK16" s="222">
        <f t="shared" si="4"/>
        <v>58707.30799794685</v>
      </c>
      <c r="AL16" s="222">
        <f t="shared" si="4"/>
        <v>60174.99069789552</v>
      </c>
      <c r="AM16" s="222">
        <f t="shared" si="4"/>
        <v>61679.365465342904</v>
      </c>
      <c r="AN16" s="222">
        <f t="shared" si="4"/>
        <v>63221.34960197647</v>
      </c>
      <c r="AO16" s="222">
        <f t="shared" si="4"/>
        <v>64801.883342025874</v>
      </c>
      <c r="AP16" s="222">
        <f t="shared" si="4"/>
        <v>66421.93042557652</v>
      </c>
      <c r="AQ16" s="222">
        <f t="shared" si="4"/>
        <v>68082.47868621592</v>
      </c>
      <c r="AR16" s="222">
        <f t="shared" si="4"/>
        <v>69784.54065337131</v>
      </c>
      <c r="AS16" s="222">
        <f t="shared" si="4"/>
        <v>71529.15416970558</v>
      </c>
      <c r="AT16" s="222">
        <f t="shared" si="4"/>
        <v>73317.38302394822</v>
      </c>
      <c r="AU16" s="222">
        <f t="shared" si="4"/>
        <v>75150.31759954692</v>
      </c>
      <c r="AV16" s="222">
        <f t="shared" si="4"/>
        <v>77029.07553953558</v>
      </c>
      <c r="AW16" s="222">
        <f t="shared" si="4"/>
        <v>78954.80242802396</v>
      </c>
      <c r="AX16" s="222">
        <f t="shared" si="4"/>
        <v>80928.67248872455</v>
      </c>
      <c r="AY16" s="222">
        <f t="shared" si="4"/>
        <v>82951.88930094265</v>
      </c>
      <c r="AZ16" s="222">
        <f aca="true" t="shared" si="5" ref="AZ16:BE16">AY16*(1+$B$9)</f>
        <v>85025.68653346621</v>
      </c>
      <c r="BA16" s="222">
        <f t="shared" si="5"/>
        <v>87151.32869680286</v>
      </c>
      <c r="BB16" s="222">
        <f t="shared" si="5"/>
        <v>89330.11191422291</v>
      </c>
      <c r="BC16" s="222">
        <f t="shared" si="5"/>
        <v>91563.36471207847</v>
      </c>
      <c r="BD16" s="222">
        <f t="shared" si="5"/>
        <v>93852.44882988042</v>
      </c>
      <c r="BE16" s="343">
        <f t="shared" si="5"/>
        <v>96198.76005062742</v>
      </c>
    </row>
    <row r="17" spans="1:57" ht="13.5" thickBot="1">
      <c r="A17" s="362" t="s">
        <v>400</v>
      </c>
      <c r="B17" s="243">
        <f>'Rents with Section 8'!F18/12/5</f>
        <v>-21.130000000000003</v>
      </c>
      <c r="C17" s="265">
        <f aca="true" t="shared" si="6" ref="C17:Q17">-(C16*$B$11)</f>
        <v>-1267.8000000000002</v>
      </c>
      <c r="D17" s="257">
        <f t="shared" si="6"/>
        <v>-1299.495</v>
      </c>
      <c r="E17" s="257">
        <f t="shared" si="6"/>
        <v>-1331.9823749999998</v>
      </c>
      <c r="F17" s="257">
        <f t="shared" si="6"/>
        <v>-1365.2819343749998</v>
      </c>
      <c r="G17" s="257">
        <f t="shared" si="6"/>
        <v>-1399.4139827343745</v>
      </c>
      <c r="H17" s="257">
        <f t="shared" si="6"/>
        <v>-1434.3993323027337</v>
      </c>
      <c r="I17" s="257">
        <f t="shared" si="6"/>
        <v>-1470.259315610302</v>
      </c>
      <c r="J17" s="257">
        <f t="shared" si="6"/>
        <v>-1507.0157985005594</v>
      </c>
      <c r="K17" s="257">
        <f t="shared" si="6"/>
        <v>-1544.6911934630734</v>
      </c>
      <c r="L17" s="257">
        <f t="shared" si="6"/>
        <v>-1583.3084732996501</v>
      </c>
      <c r="M17" s="257">
        <f t="shared" si="6"/>
        <v>-1622.8911851321411</v>
      </c>
      <c r="N17" s="257">
        <f t="shared" si="6"/>
        <v>-1663.4634647604446</v>
      </c>
      <c r="O17" s="257">
        <f t="shared" si="6"/>
        <v>-1705.0500513794557</v>
      </c>
      <c r="P17" s="257">
        <f t="shared" si="6"/>
        <v>-1747.676302663942</v>
      </c>
      <c r="Q17" s="257">
        <f t="shared" si="6"/>
        <v>-1791.3682102305404</v>
      </c>
      <c r="AG17" s="222" t="e">
        <f aca="true" t="shared" si="7" ref="AG17:BE17">AG18*$B$17</f>
        <v>#REF!</v>
      </c>
      <c r="AH17" s="222" t="e">
        <f t="shared" si="7"/>
        <v>#REF!</v>
      </c>
      <c r="AI17" s="222" t="e">
        <f t="shared" si="7"/>
        <v>#REF!</v>
      </c>
      <c r="AJ17" s="222" t="e">
        <f t="shared" si="7"/>
        <v>#REF!</v>
      </c>
      <c r="AK17" s="222" t="e">
        <f t="shared" si="7"/>
        <v>#REF!</v>
      </c>
      <c r="AL17" s="222" t="e">
        <f t="shared" si="7"/>
        <v>#REF!</v>
      </c>
      <c r="AM17" s="222" t="e">
        <f t="shared" si="7"/>
        <v>#REF!</v>
      </c>
      <c r="AN17" s="222" t="e">
        <f t="shared" si="7"/>
        <v>#REF!</v>
      </c>
      <c r="AO17" s="222" t="e">
        <f t="shared" si="7"/>
        <v>#REF!</v>
      </c>
      <c r="AP17" s="222" t="e">
        <f t="shared" si="7"/>
        <v>#REF!</v>
      </c>
      <c r="AQ17" s="222" t="e">
        <f t="shared" si="7"/>
        <v>#REF!</v>
      </c>
      <c r="AR17" s="222" t="e">
        <f t="shared" si="7"/>
        <v>#REF!</v>
      </c>
      <c r="AS17" s="222" t="e">
        <f t="shared" si="7"/>
        <v>#REF!</v>
      </c>
      <c r="AT17" s="222" t="e">
        <f t="shared" si="7"/>
        <v>#REF!</v>
      </c>
      <c r="AU17" s="222" t="e">
        <f t="shared" si="7"/>
        <v>#REF!</v>
      </c>
      <c r="AV17" s="222" t="e">
        <f t="shared" si="7"/>
        <v>#REF!</v>
      </c>
      <c r="AW17" s="222" t="e">
        <f t="shared" si="7"/>
        <v>#REF!</v>
      </c>
      <c r="AX17" s="222" t="e">
        <f t="shared" si="7"/>
        <v>#REF!</v>
      </c>
      <c r="AY17" s="222" t="e">
        <f t="shared" si="7"/>
        <v>#REF!</v>
      </c>
      <c r="AZ17" s="222" t="e">
        <f t="shared" si="7"/>
        <v>#REF!</v>
      </c>
      <c r="BA17" s="222" t="e">
        <f t="shared" si="7"/>
        <v>#REF!</v>
      </c>
      <c r="BB17" s="222" t="e">
        <f t="shared" si="7"/>
        <v>#REF!</v>
      </c>
      <c r="BC17" s="222" t="e">
        <f t="shared" si="7"/>
        <v>#REF!</v>
      </c>
      <c r="BD17" s="222" t="e">
        <f t="shared" si="7"/>
        <v>#REF!</v>
      </c>
      <c r="BE17" s="343" t="e">
        <f t="shared" si="7"/>
        <v>#REF!</v>
      </c>
    </row>
    <row r="18" spans="1:57" s="276" customFormat="1" ht="13.5" thickTop="1">
      <c r="A18" s="363" t="s">
        <v>401</v>
      </c>
      <c r="B18" s="358">
        <f aca="true" t="shared" si="8" ref="B18:Q18">SUM(B16:B17)</f>
        <v>401.47</v>
      </c>
      <c r="C18" s="356">
        <f t="shared" si="8"/>
        <v>24088.2</v>
      </c>
      <c r="D18" s="354">
        <f t="shared" si="8"/>
        <v>24690.405</v>
      </c>
      <c r="E18" s="354">
        <f t="shared" si="8"/>
        <v>25307.665124999996</v>
      </c>
      <c r="F18" s="354">
        <f t="shared" si="8"/>
        <v>25940.356753124994</v>
      </c>
      <c r="G18" s="354">
        <f t="shared" si="8"/>
        <v>26588.865671953114</v>
      </c>
      <c r="H18" s="354">
        <f t="shared" si="8"/>
        <v>27253.587313751937</v>
      </c>
      <c r="I18" s="354">
        <f t="shared" si="8"/>
        <v>27934.926996595736</v>
      </c>
      <c r="J18" s="354">
        <f t="shared" si="8"/>
        <v>28633.300171510626</v>
      </c>
      <c r="K18" s="354">
        <f t="shared" si="8"/>
        <v>29349.13267579839</v>
      </c>
      <c r="L18" s="354">
        <f t="shared" si="8"/>
        <v>30082.86099269335</v>
      </c>
      <c r="M18" s="354">
        <f t="shared" si="8"/>
        <v>30834.93251751068</v>
      </c>
      <c r="N18" s="354">
        <f t="shared" si="8"/>
        <v>31605.805830448448</v>
      </c>
      <c r="O18" s="354">
        <f t="shared" si="8"/>
        <v>32395.950976209657</v>
      </c>
      <c r="P18" s="354">
        <f t="shared" si="8"/>
        <v>33205.8497506149</v>
      </c>
      <c r="Q18" s="354">
        <f t="shared" si="8"/>
        <v>34035.99599438027</v>
      </c>
      <c r="AG18" s="345" t="e">
        <f>AG16+#REF!</f>
        <v>#REF!</v>
      </c>
      <c r="AH18" s="345" t="e">
        <f>AH16+#REF!</f>
        <v>#REF!</v>
      </c>
      <c r="AI18" s="345" t="e">
        <f>AI16+#REF!</f>
        <v>#REF!</v>
      </c>
      <c r="AJ18" s="345" t="e">
        <f>AJ16+#REF!</f>
        <v>#REF!</v>
      </c>
      <c r="AK18" s="345" t="e">
        <f>AK16+#REF!</f>
        <v>#REF!</v>
      </c>
      <c r="AL18" s="345" t="e">
        <f>AL16+#REF!</f>
        <v>#REF!</v>
      </c>
      <c r="AM18" s="345" t="e">
        <f>AM16+#REF!</f>
        <v>#REF!</v>
      </c>
      <c r="AN18" s="345" t="e">
        <f>AN16+#REF!</f>
        <v>#REF!</v>
      </c>
      <c r="AO18" s="345" t="e">
        <f>AO16+#REF!</f>
        <v>#REF!</v>
      </c>
      <c r="AP18" s="345" t="e">
        <f>AP16+#REF!</f>
        <v>#REF!</v>
      </c>
      <c r="AQ18" s="345" t="e">
        <f>AQ16+#REF!</f>
        <v>#REF!</v>
      </c>
      <c r="AR18" s="345" t="e">
        <f>AR16+#REF!</f>
        <v>#REF!</v>
      </c>
      <c r="AS18" s="345" t="e">
        <f>AS16+#REF!</f>
        <v>#REF!</v>
      </c>
      <c r="AT18" s="345" t="e">
        <f>AT16+#REF!</f>
        <v>#REF!</v>
      </c>
      <c r="AU18" s="345" t="e">
        <f>AU16+#REF!</f>
        <v>#REF!</v>
      </c>
      <c r="AV18" s="345" t="e">
        <f>AV16+#REF!</f>
        <v>#REF!</v>
      </c>
      <c r="AW18" s="345" t="e">
        <f>AW16+#REF!</f>
        <v>#REF!</v>
      </c>
      <c r="AX18" s="345" t="e">
        <f>AX16+#REF!</f>
        <v>#REF!</v>
      </c>
      <c r="AY18" s="345" t="e">
        <f>AY16+#REF!</f>
        <v>#REF!</v>
      </c>
      <c r="AZ18" s="345" t="e">
        <f>AZ16+#REF!</f>
        <v>#REF!</v>
      </c>
      <c r="BA18" s="345" t="e">
        <f>BA16+#REF!</f>
        <v>#REF!</v>
      </c>
      <c r="BB18" s="345" t="e">
        <f>BB16+#REF!</f>
        <v>#REF!</v>
      </c>
      <c r="BC18" s="345" t="e">
        <f>BC16+#REF!</f>
        <v>#REF!</v>
      </c>
      <c r="BD18" s="345" t="e">
        <f>BD16+#REF!</f>
        <v>#REF!</v>
      </c>
      <c r="BE18" s="346" t="e">
        <f>BE16+#REF!</f>
        <v>#REF!</v>
      </c>
    </row>
    <row r="19" spans="1:57" ht="12.75">
      <c r="A19" s="269"/>
      <c r="B19" s="269"/>
      <c r="C19" s="34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343"/>
    </row>
    <row r="20" spans="1:57" ht="12.75">
      <c r="A20" s="364" t="s">
        <v>95</v>
      </c>
      <c r="B20" s="243">
        <f>-'Operating Budget'!C69/12/5</f>
        <v>-408.83333333333337</v>
      </c>
      <c r="C20" s="264">
        <f>-'Operating Budget'!C69</f>
        <v>-24530</v>
      </c>
      <c r="D20" s="258">
        <f>C20*(1+$B$10)</f>
        <v>-25388.55</v>
      </c>
      <c r="E20" s="258">
        <f aca="true" t="shared" si="9" ref="E20:L20">D20*(1+$B$10)</f>
        <v>-26277.14925</v>
      </c>
      <c r="F20" s="258">
        <f t="shared" si="9"/>
        <v>-27196.849473749997</v>
      </c>
      <c r="G20" s="258">
        <f t="shared" si="9"/>
        <v>-28148.739205331243</v>
      </c>
      <c r="H20" s="258">
        <f t="shared" si="9"/>
        <v>-29133.945077517834</v>
      </c>
      <c r="I20" s="258">
        <f t="shared" si="9"/>
        <v>-30153.633155230957</v>
      </c>
      <c r="J20" s="258">
        <f t="shared" si="9"/>
        <v>-31209.010315664036</v>
      </c>
      <c r="K20" s="258">
        <f t="shared" si="9"/>
        <v>-32301.325676712277</v>
      </c>
      <c r="L20" s="258">
        <f t="shared" si="9"/>
        <v>-33431.8720753972</v>
      </c>
      <c r="M20" s="258">
        <f>L20*(1+$B$10)</f>
        <v>-34601.9875980361</v>
      </c>
      <c r="N20" s="258">
        <f>M20*(1+$B$10)</f>
        <v>-35813.057163967365</v>
      </c>
      <c r="O20" s="258">
        <f>N20*(1+$B$10)</f>
        <v>-37066.51416470622</v>
      </c>
      <c r="P20" s="258">
        <f>O20*(1+$B$10)</f>
        <v>-38363.84216047094</v>
      </c>
      <c r="Q20" s="258">
        <f>P20*(1+$B$10)</f>
        <v>-39706.57663608742</v>
      </c>
      <c r="AG20" s="222">
        <f>Q51*(1+$B$10)</f>
        <v>-68850.64957635546</v>
      </c>
      <c r="AH20" s="222">
        <f>AG20*(1+$B$10)</f>
        <v>-71260.42231152789</v>
      </c>
      <c r="AI20" s="222">
        <f aca="true" t="shared" si="10" ref="AI20:AY20">AH20*(1+$B$10)</f>
        <v>-73754.53709243136</v>
      </c>
      <c r="AJ20" s="222">
        <f t="shared" si="10"/>
        <v>-76335.94589066645</v>
      </c>
      <c r="AK20" s="222">
        <f t="shared" si="10"/>
        <v>-79007.70399683977</v>
      </c>
      <c r="AL20" s="222">
        <f t="shared" si="10"/>
        <v>-81772.97363672916</v>
      </c>
      <c r="AM20" s="222">
        <f t="shared" si="10"/>
        <v>-84635.02771401468</v>
      </c>
      <c r="AN20" s="222">
        <f t="shared" si="10"/>
        <v>-87597.25368400519</v>
      </c>
      <c r="AO20" s="222">
        <f t="shared" si="10"/>
        <v>-90663.15756294536</v>
      </c>
      <c r="AP20" s="222">
        <f t="shared" si="10"/>
        <v>-93836.36807764844</v>
      </c>
      <c r="AQ20" s="222">
        <f t="shared" si="10"/>
        <v>-97120.64096036613</v>
      </c>
      <c r="AR20" s="222">
        <f t="shared" si="10"/>
        <v>-100519.86339397894</v>
      </c>
      <c r="AS20" s="222">
        <f t="shared" si="10"/>
        <v>-104038.0586127682</v>
      </c>
      <c r="AT20" s="222">
        <f t="shared" si="10"/>
        <v>-107679.39066421508</v>
      </c>
      <c r="AU20" s="222">
        <f t="shared" si="10"/>
        <v>-111448.1693374626</v>
      </c>
      <c r="AV20" s="222">
        <f t="shared" si="10"/>
        <v>-115348.85526427379</v>
      </c>
      <c r="AW20" s="222">
        <f t="shared" si="10"/>
        <v>-119386.06519852337</v>
      </c>
      <c r="AX20" s="222">
        <f t="shared" si="10"/>
        <v>-123564.57748047168</v>
      </c>
      <c r="AY20" s="222">
        <f t="shared" si="10"/>
        <v>-127889.33769228817</v>
      </c>
      <c r="AZ20" s="222">
        <f aca="true" t="shared" si="11" ref="AZ20:BE20">AY20*(1+$B$10)</f>
        <v>-132365.46451151825</v>
      </c>
      <c r="BA20" s="222">
        <f t="shared" si="11"/>
        <v>-136998.25576942138</v>
      </c>
      <c r="BB20" s="222">
        <f t="shared" si="11"/>
        <v>-141793.19472135112</v>
      </c>
      <c r="BC20" s="222">
        <f t="shared" si="11"/>
        <v>-146755.9565365984</v>
      </c>
      <c r="BD20" s="222">
        <f t="shared" si="11"/>
        <v>-151892.41501537932</v>
      </c>
      <c r="BE20" s="343">
        <f t="shared" si="11"/>
        <v>-157208.64954091757</v>
      </c>
    </row>
    <row r="21" spans="1:57" ht="13.5" thickBot="1">
      <c r="A21" s="365" t="s">
        <v>107</v>
      </c>
      <c r="B21" s="248">
        <f>-'Operating Budget'!C72/12/5</f>
        <v>-20</v>
      </c>
      <c r="C21" s="266">
        <f>-'Operating Budget'!C74</f>
        <v>-1200</v>
      </c>
      <c r="D21" s="257">
        <f>C21</f>
        <v>-1200</v>
      </c>
      <c r="E21" s="257">
        <f aca="true" t="shared" si="12" ref="E21:L21">D21</f>
        <v>-1200</v>
      </c>
      <c r="F21" s="257">
        <f t="shared" si="12"/>
        <v>-1200</v>
      </c>
      <c r="G21" s="257">
        <f t="shared" si="12"/>
        <v>-1200</v>
      </c>
      <c r="H21" s="257">
        <f t="shared" si="12"/>
        <v>-1200</v>
      </c>
      <c r="I21" s="257">
        <f t="shared" si="12"/>
        <v>-1200</v>
      </c>
      <c r="J21" s="257">
        <f t="shared" si="12"/>
        <v>-1200</v>
      </c>
      <c r="K21" s="257">
        <f t="shared" si="12"/>
        <v>-1200</v>
      </c>
      <c r="L21" s="257">
        <f t="shared" si="12"/>
        <v>-1200</v>
      </c>
      <c r="M21" s="257">
        <f>L21</f>
        <v>-1200</v>
      </c>
      <c r="N21" s="257">
        <f>M21</f>
        <v>-1200</v>
      </c>
      <c r="O21" s="257">
        <f>N21</f>
        <v>-1200</v>
      </c>
      <c r="P21" s="257">
        <f>O21</f>
        <v>-1200</v>
      </c>
      <c r="Q21" s="257">
        <f>P21</f>
        <v>-1200</v>
      </c>
      <c r="AG21" s="222">
        <f>Q52</f>
        <v>-1200</v>
      </c>
      <c r="AH21" s="222">
        <f>AG21</f>
        <v>-1200</v>
      </c>
      <c r="AI21" s="222">
        <f aca="true" t="shared" si="13" ref="AI21:AY21">AH21</f>
        <v>-1200</v>
      </c>
      <c r="AJ21" s="222">
        <f t="shared" si="13"/>
        <v>-1200</v>
      </c>
      <c r="AK21" s="222">
        <f t="shared" si="13"/>
        <v>-1200</v>
      </c>
      <c r="AL21" s="222">
        <f t="shared" si="13"/>
        <v>-1200</v>
      </c>
      <c r="AM21" s="222">
        <f t="shared" si="13"/>
        <v>-1200</v>
      </c>
      <c r="AN21" s="222">
        <f t="shared" si="13"/>
        <v>-1200</v>
      </c>
      <c r="AO21" s="222">
        <f t="shared" si="13"/>
        <v>-1200</v>
      </c>
      <c r="AP21" s="222">
        <f t="shared" si="13"/>
        <v>-1200</v>
      </c>
      <c r="AQ21" s="222">
        <f t="shared" si="13"/>
        <v>-1200</v>
      </c>
      <c r="AR21" s="222">
        <f t="shared" si="13"/>
        <v>-1200</v>
      </c>
      <c r="AS21" s="222">
        <f t="shared" si="13"/>
        <v>-1200</v>
      </c>
      <c r="AT21" s="222">
        <f t="shared" si="13"/>
        <v>-1200</v>
      </c>
      <c r="AU21" s="222">
        <f t="shared" si="13"/>
        <v>-1200</v>
      </c>
      <c r="AV21" s="222">
        <f t="shared" si="13"/>
        <v>-1200</v>
      </c>
      <c r="AW21" s="222">
        <f t="shared" si="13"/>
        <v>-1200</v>
      </c>
      <c r="AX21" s="222">
        <f t="shared" si="13"/>
        <v>-1200</v>
      </c>
      <c r="AY21" s="222">
        <f t="shared" si="13"/>
        <v>-1200</v>
      </c>
      <c r="AZ21" s="222">
        <f aca="true" t="shared" si="14" ref="AZ21:BE21">AY21</f>
        <v>-1200</v>
      </c>
      <c r="BA21" s="222">
        <f t="shared" si="14"/>
        <v>-1200</v>
      </c>
      <c r="BB21" s="222">
        <f t="shared" si="14"/>
        <v>-1200</v>
      </c>
      <c r="BC21" s="222">
        <f t="shared" si="14"/>
        <v>-1200</v>
      </c>
      <c r="BD21" s="222">
        <f t="shared" si="14"/>
        <v>-1200</v>
      </c>
      <c r="BE21" s="343">
        <f t="shared" si="14"/>
        <v>-1200</v>
      </c>
    </row>
    <row r="22" spans="1:57" s="276" customFormat="1" ht="13.5" thickTop="1">
      <c r="A22" s="366" t="s">
        <v>408</v>
      </c>
      <c r="B22" s="359"/>
      <c r="C22" s="357">
        <f>-SUM(C18:C21)</f>
        <v>1641.7999999999993</v>
      </c>
      <c r="D22" s="311">
        <f aca="true" t="shared" si="15" ref="D22:Q22">-SUM(D18:D21)</f>
        <v>1898.1450000000004</v>
      </c>
      <c r="E22" s="311">
        <f t="shared" si="15"/>
        <v>2169.4841250000027</v>
      </c>
      <c r="F22" s="311">
        <f t="shared" si="15"/>
        <v>2456.492720625003</v>
      </c>
      <c r="G22" s="311">
        <f t="shared" si="15"/>
        <v>2759.8735333781297</v>
      </c>
      <c r="H22" s="311">
        <f t="shared" si="15"/>
        <v>3080.3577637658964</v>
      </c>
      <c r="I22" s="311">
        <f t="shared" si="15"/>
        <v>3418.706158635221</v>
      </c>
      <c r="J22" s="311">
        <f t="shared" si="15"/>
        <v>3775.7101441534105</v>
      </c>
      <c r="K22" s="311">
        <f t="shared" si="15"/>
        <v>4152.193000913885</v>
      </c>
      <c r="L22" s="311">
        <f t="shared" si="15"/>
        <v>4549.011082703852</v>
      </c>
      <c r="M22" s="311">
        <f t="shared" si="15"/>
        <v>4967.055080525424</v>
      </c>
      <c r="N22" s="311">
        <f t="shared" si="15"/>
        <v>5407.251333518918</v>
      </c>
      <c r="O22" s="311">
        <f t="shared" si="15"/>
        <v>5870.563188496562</v>
      </c>
      <c r="P22" s="311">
        <f t="shared" si="15"/>
        <v>6357.992409856037</v>
      </c>
      <c r="Q22" s="311">
        <f t="shared" si="15"/>
        <v>6870.580641707151</v>
      </c>
      <c r="AG22" s="345" t="e">
        <f>AG18-SUM(AG17:AG21)</f>
        <v>#REF!</v>
      </c>
      <c r="AH22" s="345" t="e">
        <f>AH18-SUM(AH17:AH21)</f>
        <v>#REF!</v>
      </c>
      <c r="AI22" s="345" t="e">
        <f>AI18-SUM(AI17:AI21)</f>
        <v>#REF!</v>
      </c>
      <c r="AJ22" s="345" t="e">
        <f>AJ18-SUM(AJ17:AJ21)</f>
        <v>#REF!</v>
      </c>
      <c r="AK22" s="345" t="e">
        <f aca="true" t="shared" si="16" ref="AK22:BE22">AK18-SUM(AK17:AK21)</f>
        <v>#REF!</v>
      </c>
      <c r="AL22" s="345" t="e">
        <f t="shared" si="16"/>
        <v>#REF!</v>
      </c>
      <c r="AM22" s="345" t="e">
        <f t="shared" si="16"/>
        <v>#REF!</v>
      </c>
      <c r="AN22" s="345" t="e">
        <f t="shared" si="16"/>
        <v>#REF!</v>
      </c>
      <c r="AO22" s="345" t="e">
        <f t="shared" si="16"/>
        <v>#REF!</v>
      </c>
      <c r="AP22" s="345" t="e">
        <f t="shared" si="16"/>
        <v>#REF!</v>
      </c>
      <c r="AQ22" s="345" t="e">
        <f t="shared" si="16"/>
        <v>#REF!</v>
      </c>
      <c r="AR22" s="345" t="e">
        <f t="shared" si="16"/>
        <v>#REF!</v>
      </c>
      <c r="AS22" s="345" t="e">
        <f t="shared" si="16"/>
        <v>#REF!</v>
      </c>
      <c r="AT22" s="345" t="e">
        <f t="shared" si="16"/>
        <v>#REF!</v>
      </c>
      <c r="AU22" s="345" t="e">
        <f t="shared" si="16"/>
        <v>#REF!</v>
      </c>
      <c r="AV22" s="345" t="e">
        <f t="shared" si="16"/>
        <v>#REF!</v>
      </c>
      <c r="AW22" s="345" t="e">
        <f t="shared" si="16"/>
        <v>#REF!</v>
      </c>
      <c r="AX22" s="345" t="e">
        <f t="shared" si="16"/>
        <v>#REF!</v>
      </c>
      <c r="AY22" s="345" t="e">
        <f t="shared" si="16"/>
        <v>#REF!</v>
      </c>
      <c r="AZ22" s="345" t="e">
        <f t="shared" si="16"/>
        <v>#REF!</v>
      </c>
      <c r="BA22" s="345" t="e">
        <f t="shared" si="16"/>
        <v>#REF!</v>
      </c>
      <c r="BB22" s="345" t="e">
        <f t="shared" si="16"/>
        <v>#REF!</v>
      </c>
      <c r="BC22" s="345" t="e">
        <f t="shared" si="16"/>
        <v>#REF!</v>
      </c>
      <c r="BD22" s="345" t="e">
        <f t="shared" si="16"/>
        <v>#REF!</v>
      </c>
      <c r="BE22" s="346" t="e">
        <f t="shared" si="16"/>
        <v>#REF!</v>
      </c>
    </row>
    <row r="23" spans="1:57" ht="12.75">
      <c r="A23" s="364"/>
      <c r="B23" s="269"/>
      <c r="C23" s="264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343"/>
    </row>
    <row r="24" spans="1:57" ht="12.75">
      <c r="A24" s="364" t="s">
        <v>402</v>
      </c>
      <c r="B24" s="269"/>
      <c r="C24" s="264">
        <f>-SUM(C18:C22)</f>
        <v>0</v>
      </c>
      <c r="D24" s="258">
        <f aca="true" t="shared" si="17" ref="D24:Q24">SUM(D18:D22)</f>
        <v>0</v>
      </c>
      <c r="E24" s="258">
        <f t="shared" si="17"/>
        <v>0</v>
      </c>
      <c r="F24" s="258">
        <f t="shared" si="17"/>
        <v>0</v>
      </c>
      <c r="G24" s="258">
        <f t="shared" si="17"/>
        <v>0</v>
      </c>
      <c r="H24" s="258">
        <f t="shared" si="17"/>
        <v>0</v>
      </c>
      <c r="I24" s="258">
        <f t="shared" si="17"/>
        <v>0</v>
      </c>
      <c r="J24" s="258">
        <f t="shared" si="17"/>
        <v>0</v>
      </c>
      <c r="K24" s="258">
        <f t="shared" si="17"/>
        <v>0</v>
      </c>
      <c r="L24" s="258">
        <f t="shared" si="17"/>
        <v>0</v>
      </c>
      <c r="M24" s="258">
        <f t="shared" si="17"/>
        <v>0</v>
      </c>
      <c r="N24" s="258">
        <f t="shared" si="17"/>
        <v>0</v>
      </c>
      <c r="O24" s="258">
        <f t="shared" si="17"/>
        <v>0</v>
      </c>
      <c r="P24" s="258">
        <f t="shared" si="17"/>
        <v>0</v>
      </c>
      <c r="Q24" s="258">
        <f t="shared" si="17"/>
        <v>0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343"/>
    </row>
    <row r="25" spans="1:57" ht="12.75">
      <c r="A25" s="364" t="s">
        <v>403</v>
      </c>
      <c r="B25" s="269"/>
      <c r="C25" s="264">
        <f>B7</f>
        <v>171473.52500000002</v>
      </c>
      <c r="D25" s="258">
        <f aca="true" t="shared" si="18" ref="D25:I25">C28</f>
        <v>169831.72500000003</v>
      </c>
      <c r="E25" s="258">
        <f t="shared" si="18"/>
        <v>173028.53175000005</v>
      </c>
      <c r="F25" s="258">
        <f t="shared" si="18"/>
        <v>176049.90357750002</v>
      </c>
      <c r="G25" s="258">
        <f t="shared" si="18"/>
        <v>178874.9079642</v>
      </c>
      <c r="H25" s="258">
        <f t="shared" si="18"/>
        <v>181481.2816697479</v>
      </c>
      <c r="I25" s="258">
        <f t="shared" si="18"/>
        <v>183845.36235607445</v>
      </c>
      <c r="J25" s="258">
        <f aca="true" t="shared" si="19" ref="J25:Q25">I28</f>
        <v>185942.01706812147</v>
      </c>
      <c r="K25" s="258">
        <f t="shared" si="19"/>
        <v>187744.56743601168</v>
      </c>
      <c r="L25" s="258">
        <f t="shared" si="19"/>
        <v>189224.71145817815</v>
      </c>
      <c r="M25" s="258">
        <f t="shared" si="19"/>
        <v>190352.44171921964</v>
      </c>
      <c r="N25" s="258">
        <f t="shared" si="19"/>
        <v>191095.9598902708</v>
      </c>
      <c r="O25" s="258">
        <f t="shared" si="19"/>
        <v>191421.58735346003</v>
      </c>
      <c r="P25" s="258">
        <f t="shared" si="19"/>
        <v>191293.67178556725</v>
      </c>
      <c r="Q25" s="258">
        <f t="shared" si="19"/>
        <v>190674.48952927825</v>
      </c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343"/>
    </row>
    <row r="26" spans="1:57" ht="12.75">
      <c r="A26" s="364" t="s">
        <v>404</v>
      </c>
      <c r="B26" s="269"/>
      <c r="C26" s="264">
        <v>0</v>
      </c>
      <c r="D26" s="258">
        <f>C28*B8</f>
        <v>5094.951750000001</v>
      </c>
      <c r="E26" s="258">
        <f>D28*B8</f>
        <v>5190.855952500001</v>
      </c>
      <c r="F26" s="258">
        <f>E28*B8</f>
        <v>5281.497107325001</v>
      </c>
      <c r="G26" s="258">
        <f>F28*B8</f>
        <v>5366.247238926</v>
      </c>
      <c r="H26" s="258">
        <f>G28*B8</f>
        <v>5444.438450092437</v>
      </c>
      <c r="I26" s="258">
        <f>H28*B8</f>
        <v>5515.360870682233</v>
      </c>
      <c r="J26" s="258">
        <f>I28*B8</f>
        <v>5578.260512043644</v>
      </c>
      <c r="K26" s="258">
        <f>J28*B8</f>
        <v>5632.33702308035</v>
      </c>
      <c r="L26" s="258">
        <f>K28*B8</f>
        <v>5676.741343745344</v>
      </c>
      <c r="M26" s="258">
        <f>L28*B8</f>
        <v>5710.573251576589</v>
      </c>
      <c r="N26" s="258">
        <f>M28*B8</f>
        <v>5732.878796708124</v>
      </c>
      <c r="O26" s="258">
        <f>N28*B8</f>
        <v>5742.6476206038005</v>
      </c>
      <c r="P26" s="258">
        <f>O28*B8</f>
        <v>5738.810153567018</v>
      </c>
      <c r="Q26" s="258">
        <f>P28*B8</f>
        <v>5720.234685878348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343"/>
    </row>
    <row r="27" spans="1:17" ht="13.5" thickBot="1">
      <c r="A27" s="367" t="s">
        <v>426</v>
      </c>
      <c r="B27" s="360"/>
      <c r="C27" s="265">
        <f>-C22</f>
        <v>-1641.7999999999993</v>
      </c>
      <c r="D27" s="257">
        <f>-D22</f>
        <v>-1898.1450000000004</v>
      </c>
      <c r="E27" s="257">
        <f aca="true" t="shared" si="20" ref="E27:Q27">-(E22)</f>
        <v>-2169.4841250000027</v>
      </c>
      <c r="F27" s="257">
        <f t="shared" si="20"/>
        <v>-2456.492720625003</v>
      </c>
      <c r="G27" s="257">
        <f t="shared" si="20"/>
        <v>-2759.8735333781297</v>
      </c>
      <c r="H27" s="257">
        <f t="shared" si="20"/>
        <v>-3080.3577637658964</v>
      </c>
      <c r="I27" s="257">
        <f t="shared" si="20"/>
        <v>-3418.706158635221</v>
      </c>
      <c r="J27" s="257">
        <f t="shared" si="20"/>
        <v>-3775.7101441534105</v>
      </c>
      <c r="K27" s="257">
        <f t="shared" si="20"/>
        <v>-4152.193000913885</v>
      </c>
      <c r="L27" s="257">
        <f t="shared" si="20"/>
        <v>-4549.011082703852</v>
      </c>
      <c r="M27" s="257">
        <f t="shared" si="20"/>
        <v>-4967.055080525424</v>
      </c>
      <c r="N27" s="257">
        <f t="shared" si="20"/>
        <v>-5407.251333518918</v>
      </c>
      <c r="O27" s="257">
        <f t="shared" si="20"/>
        <v>-5870.563188496562</v>
      </c>
      <c r="P27" s="257">
        <f t="shared" si="20"/>
        <v>-6357.992409856037</v>
      </c>
      <c r="Q27" s="257">
        <f t="shared" si="20"/>
        <v>-6870.580641707151</v>
      </c>
    </row>
    <row r="28" spans="1:17" s="276" customFormat="1" ht="13.5" thickTop="1">
      <c r="A28" s="368" t="s">
        <v>405</v>
      </c>
      <c r="B28" s="231"/>
      <c r="C28" s="267">
        <f aca="true" t="shared" si="21" ref="C28:J28">SUM(C24:C27)</f>
        <v>169831.72500000003</v>
      </c>
      <c r="D28" s="369">
        <f t="shared" si="21"/>
        <v>173028.53175000005</v>
      </c>
      <c r="E28" s="369">
        <f t="shared" si="21"/>
        <v>176049.90357750002</v>
      </c>
      <c r="F28" s="369">
        <f t="shared" si="21"/>
        <v>178874.9079642</v>
      </c>
      <c r="G28" s="369">
        <f t="shared" si="21"/>
        <v>181481.2816697479</v>
      </c>
      <c r="H28" s="369">
        <f t="shared" si="21"/>
        <v>183845.36235607445</v>
      </c>
      <c r="I28" s="369">
        <f t="shared" si="21"/>
        <v>185942.01706812147</v>
      </c>
      <c r="J28" s="369">
        <f t="shared" si="21"/>
        <v>187744.56743601168</v>
      </c>
      <c r="K28" s="369">
        <f aca="true" t="shared" si="22" ref="K28:Q28">SUM(K24:K27)</f>
        <v>189224.71145817815</v>
      </c>
      <c r="L28" s="369">
        <f t="shared" si="22"/>
        <v>190352.44171921964</v>
      </c>
      <c r="M28" s="369">
        <f t="shared" si="22"/>
        <v>191095.9598902708</v>
      </c>
      <c r="N28" s="369">
        <f t="shared" si="22"/>
        <v>191421.58735346003</v>
      </c>
      <c r="O28" s="369">
        <f t="shared" si="22"/>
        <v>191293.67178556725</v>
      </c>
      <c r="P28" s="369">
        <f t="shared" si="22"/>
        <v>190674.48952927825</v>
      </c>
      <c r="Q28" s="369">
        <f t="shared" si="22"/>
        <v>189524.14357344946</v>
      </c>
    </row>
    <row r="29" spans="3:32" ht="12.75"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</row>
    <row r="30" spans="2:32" ht="12.75" hidden="1">
      <c r="B30" s="253" t="s">
        <v>83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</row>
    <row r="31" spans="2:32" ht="12.75" hidden="1">
      <c r="B31" s="333">
        <v>0.06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</row>
    <row r="32" spans="3:32" ht="12.75" hidden="1"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</row>
    <row r="33" spans="3:32" ht="12.75" hidden="1">
      <c r="C33" s="250" t="s">
        <v>84</v>
      </c>
      <c r="D33" s="250" t="s">
        <v>85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</row>
    <row r="34" spans="2:32" ht="12.75" hidden="1">
      <c r="B34" s="344" t="s">
        <v>63</v>
      </c>
      <c r="C34" s="250" t="e">
        <f>NPV($B$31,#REF!)</f>
        <v>#REF!</v>
      </c>
      <c r="D34" s="250" t="e">
        <f>NPV($B$31,#REF!)</f>
        <v>#REF!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</row>
    <row r="35" spans="2:32" ht="12.75" hidden="1">
      <c r="B35" s="344" t="s">
        <v>99</v>
      </c>
      <c r="C35" s="250" t="e">
        <f>'Sources and Uses of Funds Perm'!#REF!</f>
        <v>#REF!</v>
      </c>
      <c r="D35" s="250" t="e">
        <f>C35</f>
        <v>#REF!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</row>
    <row r="36" spans="2:32" ht="12.75" hidden="1">
      <c r="B36" s="344" t="s">
        <v>79</v>
      </c>
      <c r="C36" s="250" t="e">
        <f>C34+C35</f>
        <v>#REF!</v>
      </c>
      <c r="D36" s="250" t="e">
        <f>D34+D35</f>
        <v>#REF!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</row>
    <row r="37" spans="2:32" ht="12.75" hidden="1">
      <c r="B37" s="253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</row>
    <row r="38" spans="2:32" ht="12.75" hidden="1">
      <c r="B38" s="253"/>
      <c r="C38" s="250" t="s">
        <v>82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</row>
    <row r="39" spans="2:32" ht="12.75" hidden="1">
      <c r="B39" s="344" t="s">
        <v>80</v>
      </c>
      <c r="C39" s="250">
        <v>175000</v>
      </c>
      <c r="D39" s="250">
        <v>175000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</row>
    <row r="40" spans="2:32" ht="12.75" hidden="1">
      <c r="B40" s="344" t="s">
        <v>81</v>
      </c>
      <c r="C40" s="250">
        <v>44696</v>
      </c>
      <c r="D40" s="250">
        <v>66919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</row>
    <row r="41" spans="2:32" ht="12.75" hidden="1">
      <c r="B41" s="253"/>
      <c r="C41" s="250">
        <f>C39+C40</f>
        <v>219696</v>
      </c>
      <c r="D41" s="250">
        <f>D39+D40</f>
        <v>241919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</row>
    <row r="42" spans="3:32" ht="12.75" hidden="1"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</row>
    <row r="43" spans="3:32" ht="12.75">
      <c r="C43" s="250" t="e">
        <f>C36-C41</f>
        <v>#REF!</v>
      </c>
      <c r="D43" s="250" t="e">
        <f>D36-D41</f>
        <v>#REF!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</row>
    <row r="44" spans="1:32" ht="12.75">
      <c r="A44" s="347"/>
      <c r="B44" s="496" t="s">
        <v>423</v>
      </c>
      <c r="C44" s="349" t="s">
        <v>78</v>
      </c>
      <c r="D44" s="349" t="s">
        <v>78</v>
      </c>
      <c r="E44" s="349" t="s">
        <v>78</v>
      </c>
      <c r="F44" s="349" t="s">
        <v>78</v>
      </c>
      <c r="G44" s="349" t="s">
        <v>78</v>
      </c>
      <c r="H44" s="349" t="s">
        <v>78</v>
      </c>
      <c r="I44" s="349" t="s">
        <v>78</v>
      </c>
      <c r="J44" s="349" t="s">
        <v>78</v>
      </c>
      <c r="K44" s="349" t="s">
        <v>78</v>
      </c>
      <c r="L44" s="349" t="s">
        <v>78</v>
      </c>
      <c r="M44" s="349" t="s">
        <v>78</v>
      </c>
      <c r="N44" s="349" t="s">
        <v>78</v>
      </c>
      <c r="O44" s="349" t="s">
        <v>78</v>
      </c>
      <c r="P44" s="349" t="s">
        <v>78</v>
      </c>
      <c r="Q44" s="350" t="s">
        <v>78</v>
      </c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</row>
    <row r="45" spans="1:32" ht="37.5" customHeight="1">
      <c r="A45" s="361"/>
      <c r="B45" s="497"/>
      <c r="C45" s="352">
        <f>Q14+1</f>
        <v>16</v>
      </c>
      <c r="D45" s="352">
        <f aca="true" t="shared" si="23" ref="D45:Q45">C45+1</f>
        <v>17</v>
      </c>
      <c r="E45" s="352">
        <f t="shared" si="23"/>
        <v>18</v>
      </c>
      <c r="F45" s="352">
        <f t="shared" si="23"/>
        <v>19</v>
      </c>
      <c r="G45" s="352">
        <f t="shared" si="23"/>
        <v>20</v>
      </c>
      <c r="H45" s="352">
        <f t="shared" si="23"/>
        <v>21</v>
      </c>
      <c r="I45" s="352">
        <f t="shared" si="23"/>
        <v>22</v>
      </c>
      <c r="J45" s="352">
        <f t="shared" si="23"/>
        <v>23</v>
      </c>
      <c r="K45" s="352">
        <f t="shared" si="23"/>
        <v>24</v>
      </c>
      <c r="L45" s="352">
        <f t="shared" si="23"/>
        <v>25</v>
      </c>
      <c r="M45" s="352">
        <f t="shared" si="23"/>
        <v>26</v>
      </c>
      <c r="N45" s="352">
        <f t="shared" si="23"/>
        <v>27</v>
      </c>
      <c r="O45" s="352">
        <f t="shared" si="23"/>
        <v>28</v>
      </c>
      <c r="P45" s="352">
        <f t="shared" si="23"/>
        <v>29</v>
      </c>
      <c r="Q45" s="353">
        <f t="shared" si="23"/>
        <v>30</v>
      </c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</row>
    <row r="46" spans="1:32" ht="12.75">
      <c r="A46" s="228"/>
      <c r="B46" s="228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1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</row>
    <row r="47" spans="1:17" ht="12.75">
      <c r="A47" s="269" t="s">
        <v>399</v>
      </c>
      <c r="B47" s="243">
        <f>'Rents with Section 8'!F13/12/5</f>
        <v>422.6</v>
      </c>
      <c r="C47" s="258">
        <f>Q16*(1+$B$9)</f>
        <v>36723.04830972607</v>
      </c>
      <c r="D47" s="258">
        <f aca="true" t="shared" si="24" ref="D47:Q47">C47*(1+$B$9)</f>
        <v>37641.12451746922</v>
      </c>
      <c r="E47" s="258">
        <f t="shared" si="24"/>
        <v>38582.15263040595</v>
      </c>
      <c r="F47" s="258">
        <f t="shared" si="24"/>
        <v>39546.7064461661</v>
      </c>
      <c r="G47" s="258">
        <f t="shared" si="24"/>
        <v>40535.37410732025</v>
      </c>
      <c r="H47" s="258">
        <f t="shared" si="24"/>
        <v>41548.75846000325</v>
      </c>
      <c r="I47" s="258">
        <f t="shared" si="24"/>
        <v>42587.477421503325</v>
      </c>
      <c r="J47" s="258">
        <f t="shared" si="24"/>
        <v>43652.16435704091</v>
      </c>
      <c r="K47" s="258">
        <f t="shared" si="24"/>
        <v>44743.46846596693</v>
      </c>
      <c r="L47" s="258">
        <f t="shared" si="24"/>
        <v>45862.0551776161</v>
      </c>
      <c r="M47" s="258">
        <f t="shared" si="24"/>
        <v>47008.6065570565</v>
      </c>
      <c r="N47" s="258">
        <f t="shared" si="24"/>
        <v>48183.8217209829</v>
      </c>
      <c r="O47" s="258">
        <f t="shared" si="24"/>
        <v>49388.41726400747</v>
      </c>
      <c r="P47" s="258">
        <f t="shared" si="24"/>
        <v>50623.12769560765</v>
      </c>
      <c r="Q47" s="255">
        <f t="shared" si="24"/>
        <v>51888.705887997836</v>
      </c>
    </row>
    <row r="48" spans="1:17" ht="13.5" thickBot="1">
      <c r="A48" s="362" t="s">
        <v>400</v>
      </c>
      <c r="B48" s="243">
        <f>'Rents with Section 8'!F18/12/5</f>
        <v>-21.130000000000003</v>
      </c>
      <c r="C48" s="257">
        <f aca="true" t="shared" si="25" ref="C48:Q48">-(C47*$B$11)</f>
        <v>-1836.1524154863037</v>
      </c>
      <c r="D48" s="257">
        <f t="shared" si="25"/>
        <v>-1882.0562258734612</v>
      </c>
      <c r="E48" s="257">
        <f t="shared" si="25"/>
        <v>-1929.1076315202977</v>
      </c>
      <c r="F48" s="257">
        <f t="shared" si="25"/>
        <v>-1977.335322308305</v>
      </c>
      <c r="G48" s="257">
        <f t="shared" si="25"/>
        <v>-2026.7687053660125</v>
      </c>
      <c r="H48" s="257">
        <f t="shared" si="25"/>
        <v>-2077.4379230001628</v>
      </c>
      <c r="I48" s="257">
        <f t="shared" si="25"/>
        <v>-2129.3738710751663</v>
      </c>
      <c r="J48" s="257">
        <f t="shared" si="25"/>
        <v>-2182.6082178520455</v>
      </c>
      <c r="K48" s="257">
        <f t="shared" si="25"/>
        <v>-2237.1734232983467</v>
      </c>
      <c r="L48" s="257">
        <f t="shared" si="25"/>
        <v>-2293.102758880805</v>
      </c>
      <c r="M48" s="257">
        <f t="shared" si="25"/>
        <v>-2350.430327852825</v>
      </c>
      <c r="N48" s="257">
        <f t="shared" si="25"/>
        <v>-2409.1910860491453</v>
      </c>
      <c r="O48" s="257">
        <f t="shared" si="25"/>
        <v>-2469.420863200374</v>
      </c>
      <c r="P48" s="257">
        <f t="shared" si="25"/>
        <v>-2531.1563847803827</v>
      </c>
      <c r="Q48" s="355">
        <f t="shared" si="25"/>
        <v>-2594.435294399892</v>
      </c>
    </row>
    <row r="49" spans="1:17" ht="13.5" thickTop="1">
      <c r="A49" s="363" t="s">
        <v>401</v>
      </c>
      <c r="B49" s="358">
        <f aca="true" t="shared" si="26" ref="B49:Q49">SUM(B47:B48)</f>
        <v>401.47</v>
      </c>
      <c r="C49" s="354">
        <f t="shared" si="26"/>
        <v>34886.89589423977</v>
      </c>
      <c r="D49" s="354">
        <f t="shared" si="26"/>
        <v>35759.06829159576</v>
      </c>
      <c r="E49" s="354">
        <f t="shared" si="26"/>
        <v>36653.044998885656</v>
      </c>
      <c r="F49" s="354">
        <f t="shared" si="26"/>
        <v>37569.371123857796</v>
      </c>
      <c r="G49" s="354">
        <f t="shared" si="26"/>
        <v>38508.605401954235</v>
      </c>
      <c r="H49" s="354">
        <f t="shared" si="26"/>
        <v>39471.320537003085</v>
      </c>
      <c r="I49" s="354">
        <f t="shared" si="26"/>
        <v>40458.10355042816</v>
      </c>
      <c r="J49" s="354">
        <f t="shared" si="26"/>
        <v>41469.55613918886</v>
      </c>
      <c r="K49" s="354">
        <f t="shared" si="26"/>
        <v>42506.295042668586</v>
      </c>
      <c r="L49" s="354">
        <f t="shared" si="26"/>
        <v>43568.952418735294</v>
      </c>
      <c r="M49" s="354">
        <f t="shared" si="26"/>
        <v>44658.17622920367</v>
      </c>
      <c r="N49" s="354">
        <f t="shared" si="26"/>
        <v>45774.630634933754</v>
      </c>
      <c r="O49" s="354">
        <f t="shared" si="26"/>
        <v>46918.9964008071</v>
      </c>
      <c r="P49" s="354">
        <f t="shared" si="26"/>
        <v>48091.97131082726</v>
      </c>
      <c r="Q49" s="370">
        <f t="shared" si="26"/>
        <v>49294.27059359795</v>
      </c>
    </row>
    <row r="50" spans="1:17" ht="12.75">
      <c r="A50" s="269"/>
      <c r="B50" s="269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343"/>
    </row>
    <row r="51" spans="1:17" ht="12.75">
      <c r="A51" s="364" t="s">
        <v>95</v>
      </c>
      <c r="B51" s="243">
        <f>-'Operating Budget'!C69/12/5</f>
        <v>-408.83333333333337</v>
      </c>
      <c r="C51" s="258">
        <f>Q20*(1+$B$10)</f>
        <v>-41096.30681835047</v>
      </c>
      <c r="D51" s="258">
        <f aca="true" t="shared" si="27" ref="D51:Q51">C51*(1+$B$10)</f>
        <v>-42534.677556992734</v>
      </c>
      <c r="E51" s="258">
        <f t="shared" si="27"/>
        <v>-44023.391271487475</v>
      </c>
      <c r="F51" s="258">
        <f t="shared" si="27"/>
        <v>-45564.20996598953</v>
      </c>
      <c r="G51" s="258">
        <f t="shared" si="27"/>
        <v>-47158.95731479916</v>
      </c>
      <c r="H51" s="258">
        <f t="shared" si="27"/>
        <v>-48809.52082081713</v>
      </c>
      <c r="I51" s="258">
        <f t="shared" si="27"/>
        <v>-50517.85404954573</v>
      </c>
      <c r="J51" s="258">
        <f t="shared" si="27"/>
        <v>-52285.97894127983</v>
      </c>
      <c r="K51" s="258">
        <f t="shared" si="27"/>
        <v>-54115.98820422462</v>
      </c>
      <c r="L51" s="258">
        <f t="shared" si="27"/>
        <v>-56010.047791372475</v>
      </c>
      <c r="M51" s="258">
        <f t="shared" si="27"/>
        <v>-57970.399464070506</v>
      </c>
      <c r="N51" s="258">
        <f t="shared" si="27"/>
        <v>-59999.36344531297</v>
      </c>
      <c r="O51" s="258">
        <f t="shared" si="27"/>
        <v>-62099.34116589892</v>
      </c>
      <c r="P51" s="258">
        <f t="shared" si="27"/>
        <v>-64272.81810670538</v>
      </c>
      <c r="Q51" s="255">
        <f t="shared" si="27"/>
        <v>-66522.36674044006</v>
      </c>
    </row>
    <row r="52" spans="1:17" ht="13.5" thickBot="1">
      <c r="A52" s="365" t="s">
        <v>107</v>
      </c>
      <c r="B52" s="248">
        <f>-'Operating Budget'!C72/12/5</f>
        <v>-20</v>
      </c>
      <c r="C52" s="257">
        <f>Q21</f>
        <v>-1200</v>
      </c>
      <c r="D52" s="257">
        <f aca="true" t="shared" si="28" ref="D52:Q52">C52</f>
        <v>-1200</v>
      </c>
      <c r="E52" s="257">
        <f t="shared" si="28"/>
        <v>-1200</v>
      </c>
      <c r="F52" s="257">
        <f t="shared" si="28"/>
        <v>-1200</v>
      </c>
      <c r="G52" s="257">
        <f t="shared" si="28"/>
        <v>-1200</v>
      </c>
      <c r="H52" s="257">
        <f t="shared" si="28"/>
        <v>-1200</v>
      </c>
      <c r="I52" s="257">
        <f t="shared" si="28"/>
        <v>-1200</v>
      </c>
      <c r="J52" s="257">
        <f t="shared" si="28"/>
        <v>-1200</v>
      </c>
      <c r="K52" s="257">
        <f t="shared" si="28"/>
        <v>-1200</v>
      </c>
      <c r="L52" s="257">
        <f t="shared" si="28"/>
        <v>-1200</v>
      </c>
      <c r="M52" s="257">
        <f t="shared" si="28"/>
        <v>-1200</v>
      </c>
      <c r="N52" s="257">
        <f t="shared" si="28"/>
        <v>-1200</v>
      </c>
      <c r="O52" s="257">
        <f t="shared" si="28"/>
        <v>-1200</v>
      </c>
      <c r="P52" s="257">
        <f t="shared" si="28"/>
        <v>-1200</v>
      </c>
      <c r="Q52" s="355">
        <f t="shared" si="28"/>
        <v>-1200</v>
      </c>
    </row>
    <row r="53" spans="1:17" ht="13.5" thickTop="1">
      <c r="A53" s="366" t="s">
        <v>408</v>
      </c>
      <c r="B53" s="359"/>
      <c r="C53" s="311">
        <f aca="true" t="shared" si="29" ref="C53:Q53">-SUM(C49:C52)</f>
        <v>7409.4109241107</v>
      </c>
      <c r="D53" s="311">
        <f t="shared" si="29"/>
        <v>7975.609265396975</v>
      </c>
      <c r="E53" s="311">
        <f t="shared" si="29"/>
        <v>8570.346272601819</v>
      </c>
      <c r="F53" s="311">
        <f t="shared" si="29"/>
        <v>9194.838842131736</v>
      </c>
      <c r="G53" s="311">
        <f t="shared" si="29"/>
        <v>9850.351912844926</v>
      </c>
      <c r="H53" s="311">
        <f t="shared" si="29"/>
        <v>10538.200283814047</v>
      </c>
      <c r="I53" s="311">
        <f t="shared" si="29"/>
        <v>11259.750499117567</v>
      </c>
      <c r="J53" s="311">
        <f t="shared" si="29"/>
        <v>12016.422802090965</v>
      </c>
      <c r="K53" s="311">
        <f t="shared" si="29"/>
        <v>12809.693161556032</v>
      </c>
      <c r="L53" s="311">
        <f t="shared" si="29"/>
        <v>13641.09537263718</v>
      </c>
      <c r="M53" s="311">
        <f t="shared" si="29"/>
        <v>14512.223234866833</v>
      </c>
      <c r="N53" s="311">
        <f t="shared" si="29"/>
        <v>15424.732810379217</v>
      </c>
      <c r="O53" s="311">
        <f t="shared" si="29"/>
        <v>16380.344765091824</v>
      </c>
      <c r="P53" s="311">
        <f t="shared" si="29"/>
        <v>17380.84679587812</v>
      </c>
      <c r="Q53" s="371">
        <f t="shared" si="29"/>
        <v>18428.096146842116</v>
      </c>
    </row>
    <row r="54" spans="1:17" ht="12.75">
      <c r="A54" s="364"/>
      <c r="B54" s="269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5"/>
    </row>
    <row r="55" spans="1:17" ht="12.75">
      <c r="A55" s="364" t="s">
        <v>402</v>
      </c>
      <c r="B55" s="269"/>
      <c r="C55" s="258">
        <f aca="true" t="shared" si="30" ref="C55:Q55">SUM(C49:C53)</f>
        <v>0</v>
      </c>
      <c r="D55" s="258">
        <f t="shared" si="30"/>
        <v>0</v>
      </c>
      <c r="E55" s="258">
        <f t="shared" si="30"/>
        <v>0</v>
      </c>
      <c r="F55" s="258">
        <f t="shared" si="30"/>
        <v>0</v>
      </c>
      <c r="G55" s="258">
        <f t="shared" si="30"/>
        <v>0</v>
      </c>
      <c r="H55" s="258">
        <f t="shared" si="30"/>
        <v>0</v>
      </c>
      <c r="I55" s="258">
        <f t="shared" si="30"/>
        <v>0</v>
      </c>
      <c r="J55" s="258">
        <f t="shared" si="30"/>
        <v>0</v>
      </c>
      <c r="K55" s="258">
        <f t="shared" si="30"/>
        <v>0</v>
      </c>
      <c r="L55" s="258">
        <f t="shared" si="30"/>
        <v>0</v>
      </c>
      <c r="M55" s="258">
        <f t="shared" si="30"/>
        <v>0</v>
      </c>
      <c r="N55" s="258">
        <f t="shared" si="30"/>
        <v>0</v>
      </c>
      <c r="O55" s="258">
        <f t="shared" si="30"/>
        <v>0</v>
      </c>
      <c r="P55" s="258">
        <f t="shared" si="30"/>
        <v>0</v>
      </c>
      <c r="Q55" s="255">
        <f t="shared" si="30"/>
        <v>0</v>
      </c>
    </row>
    <row r="56" spans="1:17" ht="12.75">
      <c r="A56" s="364" t="s">
        <v>403</v>
      </c>
      <c r="B56" s="269"/>
      <c r="C56" s="258">
        <f>Q28</f>
        <v>189524.14357344946</v>
      </c>
      <c r="D56" s="258">
        <f aca="true" t="shared" si="31" ref="D56:Q56">C59</f>
        <v>187800.45695654224</v>
      </c>
      <c r="E56" s="258">
        <f t="shared" si="31"/>
        <v>185458.86139984152</v>
      </c>
      <c r="F56" s="258">
        <f t="shared" si="31"/>
        <v>182452.28096923494</v>
      </c>
      <c r="G56" s="258">
        <f t="shared" si="31"/>
        <v>178731.01055618026</v>
      </c>
      <c r="H56" s="258">
        <f t="shared" si="31"/>
        <v>174242.58896002074</v>
      </c>
      <c r="I56" s="258">
        <f t="shared" si="31"/>
        <v>168931.6663450073</v>
      </c>
      <c r="J56" s="258">
        <f t="shared" si="31"/>
        <v>162739.86583623997</v>
      </c>
      <c r="K56" s="258">
        <f t="shared" si="31"/>
        <v>155605.6390092362</v>
      </c>
      <c r="L56" s="258">
        <f t="shared" si="31"/>
        <v>147464.11501795726</v>
      </c>
      <c r="M56" s="258">
        <f t="shared" si="31"/>
        <v>138246.9430958588</v>
      </c>
      <c r="N56" s="258">
        <f t="shared" si="31"/>
        <v>127882.12815386773</v>
      </c>
      <c r="O56" s="258">
        <f t="shared" si="31"/>
        <v>116293.85918810454</v>
      </c>
      <c r="P56" s="258">
        <f t="shared" si="31"/>
        <v>103402.33019865585</v>
      </c>
      <c r="Q56" s="255">
        <f t="shared" si="31"/>
        <v>89123.5533087374</v>
      </c>
    </row>
    <row r="57" spans="1:17" ht="12.75">
      <c r="A57" s="364" t="s">
        <v>404</v>
      </c>
      <c r="B57" s="269"/>
      <c r="C57" s="258">
        <f>Q28*B8</f>
        <v>5685.7243072034835</v>
      </c>
      <c r="D57" s="258">
        <f>C59*B8</f>
        <v>5634.013708696267</v>
      </c>
      <c r="E57" s="258">
        <f>D59*B8</f>
        <v>5563.765841995246</v>
      </c>
      <c r="F57" s="258">
        <f>E59*B8</f>
        <v>5473.568429077048</v>
      </c>
      <c r="G57" s="258">
        <f>F59*B8</f>
        <v>5361.930316685408</v>
      </c>
      <c r="H57" s="258">
        <f>G59*B8</f>
        <v>5227.277668800622</v>
      </c>
      <c r="I57" s="258">
        <f>H59*B8</f>
        <v>5067.949990350219</v>
      </c>
      <c r="J57" s="258">
        <f>I59*B8</f>
        <v>4882.195975087199</v>
      </c>
      <c r="K57" s="258">
        <f>J59*B8</f>
        <v>4668.169170277086</v>
      </c>
      <c r="L57" s="258">
        <f>K59*B8</f>
        <v>4423.923450538718</v>
      </c>
      <c r="M57" s="258">
        <f>L59*B8</f>
        <v>4147.408292875763</v>
      </c>
      <c r="N57" s="258">
        <f>M59*B8</f>
        <v>3836.4638446160316</v>
      </c>
      <c r="O57" s="258">
        <f>N59*B8</f>
        <v>3488.815775643136</v>
      </c>
      <c r="P57" s="258">
        <f>O59*B8</f>
        <v>3102.0699059596755</v>
      </c>
      <c r="Q57" s="255">
        <f>P59*B8</f>
        <v>2673.706599262122</v>
      </c>
    </row>
    <row r="58" spans="1:17" ht="13.5" thickBot="1">
      <c r="A58" s="367" t="s">
        <v>426</v>
      </c>
      <c r="B58" s="360"/>
      <c r="C58" s="257">
        <f aca="true" t="shared" si="32" ref="C58:Q58">-(C53)</f>
        <v>-7409.4109241107</v>
      </c>
      <c r="D58" s="257">
        <f t="shared" si="32"/>
        <v>-7975.609265396975</v>
      </c>
      <c r="E58" s="257">
        <f t="shared" si="32"/>
        <v>-8570.346272601819</v>
      </c>
      <c r="F58" s="257">
        <f t="shared" si="32"/>
        <v>-9194.838842131736</v>
      </c>
      <c r="G58" s="257">
        <f t="shared" si="32"/>
        <v>-9850.351912844926</v>
      </c>
      <c r="H58" s="257">
        <f t="shared" si="32"/>
        <v>-10538.200283814047</v>
      </c>
      <c r="I58" s="257">
        <f t="shared" si="32"/>
        <v>-11259.750499117567</v>
      </c>
      <c r="J58" s="257">
        <f t="shared" si="32"/>
        <v>-12016.422802090965</v>
      </c>
      <c r="K58" s="257">
        <f t="shared" si="32"/>
        <v>-12809.693161556032</v>
      </c>
      <c r="L58" s="257">
        <f t="shared" si="32"/>
        <v>-13641.09537263718</v>
      </c>
      <c r="M58" s="257">
        <f t="shared" si="32"/>
        <v>-14512.223234866833</v>
      </c>
      <c r="N58" s="257">
        <f t="shared" si="32"/>
        <v>-15424.732810379217</v>
      </c>
      <c r="O58" s="257">
        <f t="shared" si="32"/>
        <v>-16380.344765091824</v>
      </c>
      <c r="P58" s="257">
        <f t="shared" si="32"/>
        <v>-17380.84679587812</v>
      </c>
      <c r="Q58" s="355">
        <f t="shared" si="32"/>
        <v>-18428.096146842116</v>
      </c>
    </row>
    <row r="59" spans="1:17" ht="13.5" thickTop="1">
      <c r="A59" s="368" t="s">
        <v>405</v>
      </c>
      <c r="B59" s="231"/>
      <c r="C59" s="369">
        <f aca="true" t="shared" si="33" ref="C59:Q59">SUM(C55:C58)</f>
        <v>187800.45695654224</v>
      </c>
      <c r="D59" s="369">
        <f t="shared" si="33"/>
        <v>185458.86139984152</v>
      </c>
      <c r="E59" s="369">
        <f t="shared" si="33"/>
        <v>182452.28096923494</v>
      </c>
      <c r="F59" s="369">
        <f t="shared" si="33"/>
        <v>178731.01055618026</v>
      </c>
      <c r="G59" s="369">
        <f t="shared" si="33"/>
        <v>174242.58896002074</v>
      </c>
      <c r="H59" s="369">
        <f t="shared" si="33"/>
        <v>168931.6663450073</v>
      </c>
      <c r="I59" s="369">
        <f t="shared" si="33"/>
        <v>162739.86583623997</v>
      </c>
      <c r="J59" s="369">
        <f t="shared" si="33"/>
        <v>155605.6390092362</v>
      </c>
      <c r="K59" s="369">
        <f t="shared" si="33"/>
        <v>147464.11501795726</v>
      </c>
      <c r="L59" s="369">
        <f t="shared" si="33"/>
        <v>138246.9430958588</v>
      </c>
      <c r="M59" s="369">
        <f t="shared" si="33"/>
        <v>127882.12815386773</v>
      </c>
      <c r="N59" s="369">
        <f t="shared" si="33"/>
        <v>116293.85918810454</v>
      </c>
      <c r="O59" s="369">
        <f t="shared" si="33"/>
        <v>103402.33019865585</v>
      </c>
      <c r="P59" s="369">
        <f t="shared" si="33"/>
        <v>89123.5533087374</v>
      </c>
      <c r="Q59" s="372">
        <f t="shared" si="33"/>
        <v>73369.16376115741</v>
      </c>
    </row>
  </sheetData>
  <sheetProtection/>
  <mergeCells count="2">
    <mergeCell ref="B13:B14"/>
    <mergeCell ref="B44:B45"/>
  </mergeCells>
  <printOptions/>
  <pageMargins left="0.25" right="0.25" top="0.75" bottom="0.75" header="0.3" footer="0.3"/>
  <pageSetup fitToHeight="0" fitToWidth="0" horizontalDpi="600" verticalDpi="600" orientation="landscape" scale="55" r:id="rId1"/>
  <colBreaks count="1" manualBreakCount="1">
    <brk id="1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Arnie Fischman</dc:creator>
  <cp:keywords/>
  <dc:description/>
  <cp:lastModifiedBy>NBHC</cp:lastModifiedBy>
  <cp:lastPrinted>2012-01-24T17:53:26Z</cp:lastPrinted>
  <dcterms:created xsi:type="dcterms:W3CDTF">2006-11-07T16:22:24Z</dcterms:created>
  <dcterms:modified xsi:type="dcterms:W3CDTF">2017-09-15T23:58:05Z</dcterms:modified>
  <cp:category/>
  <cp:version/>
  <cp:contentType/>
  <cp:contentStatus/>
</cp:coreProperties>
</file>